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3250" windowHeight="12570" activeTab="2"/>
  </bookViews>
  <sheets>
    <sheet name="2023-24 Budget w toilets" sheetId="1" r:id="rId1"/>
    <sheet name="Reserves" sheetId="7" r:id="rId2"/>
    <sheet name="2023-24 Budget wo toilets" sheetId="8" r:id="rId3"/>
  </sheets>
  <definedNames>
    <definedName name="_xlnm.Print_Area" localSheetId="0">'2023-24 Budget w toilets'!$A$1:$J$70</definedName>
    <definedName name="_xlnm.Print_Area" localSheetId="2">'2023-24 Budget wo toilets'!$A$1:$J$69</definedName>
    <definedName name="_xlnm.Print_Area" localSheetId="1">Reserves!$A$1:$Z$53</definedName>
    <definedName name="_xlnm.Print_Titles" localSheetId="1">Reserves!$A:$C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/>
  <c r="D21" i="8"/>
  <c r="F21" s="1"/>
  <c r="H66"/>
  <c r="H67" s="1"/>
  <c r="F66"/>
  <c r="F67" s="1"/>
  <c r="A63"/>
  <c r="G57" s="1"/>
  <c r="H62"/>
  <c r="I60"/>
  <c r="F54"/>
  <c r="F62" s="1"/>
  <c r="F52"/>
  <c r="F51"/>
  <c r="F49"/>
  <c r="G49" s="1"/>
  <c r="I49" s="1"/>
  <c r="I42"/>
  <c r="F42"/>
  <c r="I41"/>
  <c r="F41"/>
  <c r="I37"/>
  <c r="H35"/>
  <c r="H39" s="1"/>
  <c r="H55" s="1"/>
  <c r="H60" s="1"/>
  <c r="H63" s="1"/>
  <c r="G35"/>
  <c r="G39" s="1"/>
  <c r="G55" s="1"/>
  <c r="A35"/>
  <c r="A39" s="1"/>
  <c r="A58" s="1"/>
  <c r="F33"/>
  <c r="I32"/>
  <c r="F32"/>
  <c r="F31"/>
  <c r="I30"/>
  <c r="F30"/>
  <c r="F28"/>
  <c r="I26"/>
  <c r="F26"/>
  <c r="I25"/>
  <c r="F25"/>
  <c r="I22"/>
  <c r="F22"/>
  <c r="F19"/>
  <c r="D19"/>
  <c r="I19" s="1"/>
  <c r="I18"/>
  <c r="F18"/>
  <c r="D17"/>
  <c r="E17" s="1"/>
  <c r="F17" s="1"/>
  <c r="D16"/>
  <c r="E16" s="1"/>
  <c r="I15"/>
  <c r="E15"/>
  <c r="F15" s="1"/>
  <c r="I14"/>
  <c r="F14"/>
  <c r="I13"/>
  <c r="F13"/>
  <c r="I12"/>
  <c r="F12"/>
  <c r="I11"/>
  <c r="F11"/>
  <c r="I10"/>
  <c r="F10"/>
  <c r="E9"/>
  <c r="F9" s="1"/>
  <c r="D9"/>
  <c r="I9" s="1"/>
  <c r="D16" i="1"/>
  <c r="E16" s="1"/>
  <c r="F34"/>
  <c r="D17"/>
  <c r="E17" s="1"/>
  <c r="E9"/>
  <c r="D9"/>
  <c r="T55" i="7"/>
  <c r="Z51"/>
  <c r="W51"/>
  <c r="N51"/>
  <c r="K51"/>
  <c r="H51"/>
  <c r="Z44"/>
  <c r="Z43"/>
  <c r="Z42"/>
  <c r="Y41"/>
  <c r="V41"/>
  <c r="T41"/>
  <c r="W41" s="1"/>
  <c r="Z41" s="1"/>
  <c r="Q41"/>
  <c r="V40"/>
  <c r="L40"/>
  <c r="K40"/>
  <c r="N40" s="1"/>
  <c r="I40"/>
  <c r="H40"/>
  <c r="X32"/>
  <c r="V32"/>
  <c r="U32"/>
  <c r="S32"/>
  <c r="R32"/>
  <c r="P32"/>
  <c r="O32"/>
  <c r="M32"/>
  <c r="L32"/>
  <c r="J32"/>
  <c r="H32"/>
  <c r="G32"/>
  <c r="F32"/>
  <c r="T31"/>
  <c r="K30"/>
  <c r="N30" s="1"/>
  <c r="Q30" s="1"/>
  <c r="T30" s="1"/>
  <c r="K29"/>
  <c r="N29" s="1"/>
  <c r="Q29" s="1"/>
  <c r="T29" s="1"/>
  <c r="Y28"/>
  <c r="Y32" s="1"/>
  <c r="I28"/>
  <c r="I32" s="1"/>
  <c r="T25"/>
  <c r="Y23"/>
  <c r="X23"/>
  <c r="V23"/>
  <c r="U23"/>
  <c r="S23"/>
  <c r="R23"/>
  <c r="P23"/>
  <c r="O23"/>
  <c r="M23"/>
  <c r="L23"/>
  <c r="I23"/>
  <c r="G23"/>
  <c r="F23"/>
  <c r="E23"/>
  <c r="D23"/>
  <c r="B23"/>
  <c r="T20"/>
  <c r="W20" s="1"/>
  <c r="W64" s="1"/>
  <c r="T19"/>
  <c r="W19" s="1"/>
  <c r="K15"/>
  <c r="N15" s="1"/>
  <c r="Q15" s="1"/>
  <c r="T15" s="1"/>
  <c r="W15" s="1"/>
  <c r="Z15" s="1"/>
  <c r="H15"/>
  <c r="H14"/>
  <c r="K14" s="1"/>
  <c r="N14" s="1"/>
  <c r="Q14" s="1"/>
  <c r="T14" s="1"/>
  <c r="W14" s="1"/>
  <c r="K13"/>
  <c r="N13" s="1"/>
  <c r="Q13" s="1"/>
  <c r="T13" s="1"/>
  <c r="W13" s="1"/>
  <c r="H13"/>
  <c r="H12"/>
  <c r="K12" s="1"/>
  <c r="N12" s="1"/>
  <c r="Q12" s="1"/>
  <c r="T12" s="1"/>
  <c r="W12" s="1"/>
  <c r="Z12" s="1"/>
  <c r="K11"/>
  <c r="N11" s="1"/>
  <c r="Q11" s="1"/>
  <c r="T11" s="1"/>
  <c r="W11" s="1"/>
  <c r="H11"/>
  <c r="H8"/>
  <c r="K8" s="1"/>
  <c r="N8" s="1"/>
  <c r="Q8" s="1"/>
  <c r="T8" s="1"/>
  <c r="W8" s="1"/>
  <c r="Z8" s="1"/>
  <c r="J7"/>
  <c r="J23" s="1"/>
  <c r="H7"/>
  <c r="K7" s="1"/>
  <c r="N7" s="1"/>
  <c r="Q7" s="1"/>
  <c r="T7" s="1"/>
  <c r="W7" s="1"/>
  <c r="H6"/>
  <c r="K6" s="1"/>
  <c r="N6" s="1"/>
  <c r="Q6" s="1"/>
  <c r="T6" s="1"/>
  <c r="W6" s="1"/>
  <c r="H5"/>
  <c r="K5" s="1"/>
  <c r="K28" l="1"/>
  <c r="N28" s="1"/>
  <c r="E35" i="8"/>
  <c r="F16"/>
  <c r="F35" s="1"/>
  <c r="F39" s="1"/>
  <c r="F55" s="1"/>
  <c r="I21"/>
  <c r="G58"/>
  <c r="I16"/>
  <c r="F60"/>
  <c r="F63" s="1"/>
  <c r="H57" s="1"/>
  <c r="H58" s="1"/>
  <c r="G60"/>
  <c r="G63" s="1"/>
  <c r="F57"/>
  <c r="H68"/>
  <c r="H69" s="1"/>
  <c r="F68"/>
  <c r="F69" s="1"/>
  <c r="D35"/>
  <c r="I35" s="1"/>
  <c r="I17"/>
  <c r="W57" i="7"/>
  <c r="Z7"/>
  <c r="W62"/>
  <c r="Z14"/>
  <c r="N5"/>
  <c r="K23"/>
  <c r="W63"/>
  <c r="Z19"/>
  <c r="N32"/>
  <c r="Q28"/>
  <c r="W61"/>
  <c r="Z13"/>
  <c r="W59"/>
  <c r="Z6"/>
  <c r="Q40"/>
  <c r="T40" s="1"/>
  <c r="W40" s="1"/>
  <c r="Z11"/>
  <c r="W60"/>
  <c r="Z20"/>
  <c r="K32"/>
  <c r="K34" s="1"/>
  <c r="K45" s="1"/>
  <c r="W55"/>
  <c r="H23"/>
  <c r="H34" s="1"/>
  <c r="H45" s="1"/>
  <c r="F58" i="8" l="1"/>
  <c r="K49" i="7"/>
  <c r="K53"/>
  <c r="H53"/>
  <c r="H49"/>
  <c r="Q5"/>
  <c r="N23"/>
  <c r="N34" s="1"/>
  <c r="N45" s="1"/>
  <c r="Z40"/>
  <c r="W66"/>
  <c r="Q32"/>
  <c r="T28"/>
  <c r="N49" l="1"/>
  <c r="N53"/>
  <c r="Q23"/>
  <c r="Q34" s="1"/>
  <c r="Q45" s="1"/>
  <c r="T5"/>
  <c r="W28"/>
  <c r="T32"/>
  <c r="Q53" l="1"/>
  <c r="Q49"/>
  <c r="T23"/>
  <c r="T34" s="1"/>
  <c r="T45" s="1"/>
  <c r="W5"/>
  <c r="W65"/>
  <c r="Z28"/>
  <c r="Z32" s="1"/>
  <c r="W32"/>
  <c r="D19" i="1"/>
  <c r="T53" i="7" l="1"/>
  <c r="T49"/>
  <c r="W23"/>
  <c r="W34" s="1"/>
  <c r="W45" s="1"/>
  <c r="Z5"/>
  <c r="Z23" s="1"/>
  <c r="Z34" s="1"/>
  <c r="Z45" s="1"/>
  <c r="W58"/>
  <c r="H67" i="1"/>
  <c r="F67"/>
  <c r="W49" i="7" l="1"/>
  <c r="W53"/>
  <c r="W67" s="1"/>
  <c r="W69" s="1"/>
  <c r="Z53"/>
  <c r="Z49"/>
  <c r="H68" i="1"/>
  <c r="W70" i="7" l="1"/>
  <c r="W71" s="1"/>
  <c r="E15" i="1"/>
  <c r="F68" l="1"/>
  <c r="A64"/>
  <c r="F58" s="1"/>
  <c r="H63"/>
  <c r="F63"/>
  <c r="I61"/>
  <c r="F55"/>
  <c r="F53"/>
  <c r="F52"/>
  <c r="F50"/>
  <c r="G50" s="1"/>
  <c r="I50" s="1"/>
  <c r="I43"/>
  <c r="F43"/>
  <c r="I42"/>
  <c r="F42"/>
  <c r="I38"/>
  <c r="H36"/>
  <c r="G36"/>
  <c r="G40" s="1"/>
  <c r="G56" s="1"/>
  <c r="E36"/>
  <c r="D36"/>
  <c r="A36"/>
  <c r="I33"/>
  <c r="F33"/>
  <c r="F32"/>
  <c r="I31"/>
  <c r="F31"/>
  <c r="F29"/>
  <c r="I27"/>
  <c r="F27"/>
  <c r="I25"/>
  <c r="F25"/>
  <c r="F22"/>
  <c r="I22"/>
  <c r="I21"/>
  <c r="F21"/>
  <c r="I19"/>
  <c r="F19"/>
  <c r="I18"/>
  <c r="F18"/>
  <c r="I17"/>
  <c r="F17"/>
  <c r="I16"/>
  <c r="F16"/>
  <c r="F15"/>
  <c r="I14"/>
  <c r="F14"/>
  <c r="I13"/>
  <c r="F13"/>
  <c r="I12"/>
  <c r="F12"/>
  <c r="I11"/>
  <c r="F11"/>
  <c r="I10"/>
  <c r="F10"/>
  <c r="I9"/>
  <c r="F9"/>
  <c r="H40" l="1"/>
  <c r="H56" s="1"/>
  <c r="H61" s="1"/>
  <c r="H64" s="1"/>
  <c r="I36"/>
  <c r="A40"/>
  <c r="A59" s="1"/>
  <c r="G58"/>
  <c r="G59" s="1"/>
  <c r="H69"/>
  <c r="H70" s="1"/>
  <c r="F36"/>
  <c r="F40" s="1"/>
  <c r="F56" s="1"/>
  <c r="G61"/>
  <c r="G64" s="1"/>
  <c r="F61"/>
  <c r="F64" s="1"/>
  <c r="H58" s="1"/>
  <c r="F69"/>
  <c r="F70" s="1"/>
  <c r="I15"/>
  <c r="H59" l="1"/>
  <c r="F59"/>
</calcChain>
</file>

<file path=xl/comments1.xml><?xml version="1.0" encoding="utf-8"?>
<comments xmlns="http://schemas.openxmlformats.org/spreadsheetml/2006/main">
  <authors>
    <author>Claudia Dickson</author>
  </authors>
  <commentList>
    <comment ref="H27" authorId="0">
      <text>
        <r>
          <rPr>
            <b/>
            <sz val="9"/>
            <color indexed="81"/>
            <rFont val="Tahoma"/>
            <family val="2"/>
          </rPr>
          <t>Please see Reserves sheet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  <author>Claudia Dickson</author>
  </authors>
  <commentList>
    <comment ref="V6" authorId="0">
      <text>
        <r>
          <rPr>
            <b/>
            <sz val="9"/>
            <color indexed="81"/>
            <rFont val="Tahoma"/>
            <family val="2"/>
          </rPr>
          <t>Claudia:</t>
        </r>
        <r>
          <rPr>
            <sz val="9"/>
            <color indexed="81"/>
            <rFont val="Tahoma"/>
            <family val="2"/>
          </rPr>
          <t xml:space="preserve">
finger post at top of New Road/Middle Hill</t>
        </r>
      </text>
    </comment>
    <comment ref="S7" authorId="1">
      <text>
        <r>
          <rPr>
            <b/>
            <sz val="9"/>
            <color indexed="81"/>
            <rFont val="Tahoma"/>
            <family val="2"/>
          </rPr>
          <t>Claudia Dickson:</t>
        </r>
        <r>
          <rPr>
            <sz val="9"/>
            <color indexed="81"/>
            <rFont val="Tahoma"/>
            <family val="2"/>
          </rPr>
          <t xml:space="preserve">
transfer to general reserves</t>
        </r>
      </text>
    </comment>
    <comment ref="A19" authorId="1">
      <text>
        <r>
          <rPr>
            <b/>
            <sz val="9"/>
            <color indexed="81"/>
            <rFont val="Tahoma"/>
            <family val="2"/>
          </rPr>
          <t>Purchased 19.12.2017 but not added here until 27.3.2020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0" authorId="1">
      <text>
        <r>
          <rPr>
            <b/>
            <sz val="9"/>
            <color indexed="81"/>
            <rFont val="Tahoma"/>
            <family val="2"/>
          </rPr>
          <t xml:space="preserve">See Neighbourhood Plan sheet for details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Claudia Dickson</author>
  </authors>
  <commentList>
    <comment ref="H26" authorId="0">
      <text>
        <r>
          <rPr>
            <b/>
            <sz val="9"/>
            <color indexed="81"/>
            <rFont val="Tahoma"/>
            <family val="2"/>
          </rPr>
          <t>Please see Reserves sheet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<sst xmlns="http://schemas.openxmlformats.org/spreadsheetml/2006/main" count="305" uniqueCount="131">
  <si>
    <t>Reedham Parish Council</t>
  </si>
  <si>
    <t>Actual</t>
  </si>
  <si>
    <t>Forecast</t>
  </si>
  <si>
    <t>Actual &amp; Forecast</t>
  </si>
  <si>
    <t>Budget</t>
  </si>
  <si>
    <t>Precept</t>
  </si>
  <si>
    <t>31.3.2022</t>
  </si>
  <si>
    <t>%</t>
  </si>
  <si>
    <t>£</t>
  </si>
  <si>
    <t>Expenditure</t>
  </si>
  <si>
    <t>Clerk's salary</t>
  </si>
  <si>
    <t>External Audit</t>
  </si>
  <si>
    <t>Internal Audit</t>
  </si>
  <si>
    <t>Insurance</t>
  </si>
  <si>
    <t>Grass Cutting</t>
  </si>
  <si>
    <t>Training/Travel exps</t>
  </si>
  <si>
    <t>Subscriptions</t>
  </si>
  <si>
    <t>Office expenses</t>
  </si>
  <si>
    <t>S137</t>
  </si>
  <si>
    <t>Village work</t>
  </si>
  <si>
    <t>Glass recycling</t>
  </si>
  <si>
    <t>Village Hall grant</t>
  </si>
  <si>
    <t>Website</t>
  </si>
  <si>
    <t>Maintenance Accrual</t>
  </si>
  <si>
    <t>Income</t>
  </si>
  <si>
    <t>Miscellaneous Income</t>
  </si>
  <si>
    <t>Grass Cutting BDC</t>
  </si>
  <si>
    <t>Recycling credits</t>
  </si>
  <si>
    <t>Surplus / (Deficit)</t>
  </si>
  <si>
    <t>VAT (income)</t>
  </si>
  <si>
    <t>VAT (expenditure)</t>
  </si>
  <si>
    <t>CIL</t>
  </si>
  <si>
    <t>S106 receipts</t>
  </si>
  <si>
    <t>S106 payments</t>
  </si>
  <si>
    <t>Transfer (to)/from earmarked reserves</t>
  </si>
  <si>
    <t>Surplus / (Deficit) after transfer</t>
  </si>
  <si>
    <t>balance b/f</t>
  </si>
  <si>
    <t>General Reserves</t>
  </si>
  <si>
    <t>Earmarked Reserves</t>
  </si>
  <si>
    <t>balance c/f</t>
  </si>
  <si>
    <t>Band D Properties</t>
  </si>
  <si>
    <t>Estimated Band D tax rate</t>
  </si>
  <si>
    <t>% change</t>
  </si>
  <si>
    <t>difference (£)</t>
  </si>
  <si>
    <t>difference per month (£)</t>
  </si>
  <si>
    <t>31.3.2023</t>
  </si>
  <si>
    <t>01.04.2016</t>
  </si>
  <si>
    <t>Annual</t>
  </si>
  <si>
    <t>Provision from</t>
  </si>
  <si>
    <t>Used during</t>
  </si>
  <si>
    <t>31.03.2017</t>
  </si>
  <si>
    <t>31.03.2018</t>
  </si>
  <si>
    <t>Used/Transfered during</t>
  </si>
  <si>
    <t>31.03.2019</t>
  </si>
  <si>
    <t>31.03.2020</t>
  </si>
  <si>
    <t>31.03.2021</t>
  </si>
  <si>
    <t>31.03.2022</t>
  </si>
  <si>
    <t>b/f</t>
  </si>
  <si>
    <t>Provision</t>
  </si>
  <si>
    <t>b/f reserves</t>
  </si>
  <si>
    <t>2016/17</t>
  </si>
  <si>
    <t>c/f</t>
  </si>
  <si>
    <t>2017/18</t>
  </si>
  <si>
    <t>2018/19</t>
  </si>
  <si>
    <t>2019/20</t>
  </si>
  <si>
    <t>2020/21</t>
  </si>
  <si>
    <t>2021/22</t>
  </si>
  <si>
    <t>Village Works</t>
  </si>
  <si>
    <t>Woodland walk steps replacement &amp; maintenance</t>
  </si>
  <si>
    <t>signing around the village (for tourists)</t>
  </si>
  <si>
    <t>permissive path - maintenance, repair etc</t>
  </si>
  <si>
    <t>footpaths - barriers, maintenance, repair etc</t>
  </si>
  <si>
    <t xml:space="preserve">Asset Register </t>
  </si>
  <si>
    <t>Insurance Value</t>
  </si>
  <si>
    <t>War Memorial</t>
  </si>
  <si>
    <t>Amercian War Memorial Plaque</t>
  </si>
  <si>
    <t>Village Seats x 6</t>
  </si>
  <si>
    <t>Village Sign</t>
  </si>
  <si>
    <t>Playingfield seats (2)</t>
  </si>
  <si>
    <t>Pavilion</t>
  </si>
  <si>
    <t>Tennis Court &amp; Fencing</t>
  </si>
  <si>
    <t>Play Equipment</t>
  </si>
  <si>
    <t>Speed Sensor</t>
  </si>
  <si>
    <t>Noticeboard</t>
  </si>
  <si>
    <t>Received</t>
  </si>
  <si>
    <t>Permissive Path - Village Fundraising</t>
  </si>
  <si>
    <t>Permissive Path - Grants funding - Norfolk &amp; Suffolk Broads Charitable Trust</t>
  </si>
  <si>
    <t>Permissive Path - Grants funding - Brian Iles, Norfolk County Council</t>
  </si>
  <si>
    <t>Permissive Path - Grants funding - Broadland District Council</t>
  </si>
  <si>
    <t>Sub-Total</t>
  </si>
  <si>
    <t>Spent</t>
  </si>
  <si>
    <t>Balance</t>
  </si>
  <si>
    <t>Balance c/f</t>
  </si>
  <si>
    <t>TOTAL</t>
  </si>
  <si>
    <t>Allotments</t>
  </si>
  <si>
    <t>Total EMR</t>
  </si>
  <si>
    <t>Closing Balance - all accounts</t>
  </si>
  <si>
    <t>Sundry</t>
  </si>
  <si>
    <t>Interest</t>
  </si>
  <si>
    <t>Covid-19 NCF Grant</t>
  </si>
  <si>
    <t>BDC Permissive Path Grant</t>
  </si>
  <si>
    <t xml:space="preserve">Love the Broads Grant </t>
  </si>
  <si>
    <t>Brian Iles Highways Grant</t>
  </si>
  <si>
    <t>CIL receipts</t>
  </si>
  <si>
    <t>CIL expenditure</t>
  </si>
  <si>
    <t>31.03.2023</t>
  </si>
  <si>
    <t>2022/23</t>
  </si>
  <si>
    <t>Toilets</t>
  </si>
  <si>
    <t>Play Equipment inspection</t>
  </si>
  <si>
    <t>Permissive Path</t>
  </si>
  <si>
    <t>Forecast Accounts to 31.3.2023</t>
  </si>
  <si>
    <t>Budget &amp; Precept to 31.3.2024</t>
  </si>
  <si>
    <t>31.3.2024</t>
  </si>
  <si>
    <t>Village Hall rent</t>
  </si>
  <si>
    <t>Neighbourhood Plan Grant - Broadland</t>
  </si>
  <si>
    <t>EV Charging Points grant NCC</t>
  </si>
  <si>
    <t>CAN Ukrainian grant</t>
  </si>
  <si>
    <t>2 x litter bins</t>
  </si>
  <si>
    <t>Neighbourhood Plan Grant - Groundworks</t>
  </si>
  <si>
    <t>PP</t>
  </si>
  <si>
    <t>WW</t>
  </si>
  <si>
    <t>Footpaths</t>
  </si>
  <si>
    <t>War Mems</t>
  </si>
  <si>
    <t>Seats</t>
  </si>
  <si>
    <t>Speed S</t>
  </si>
  <si>
    <t>PP fund</t>
  </si>
  <si>
    <t>General</t>
  </si>
  <si>
    <t>Woodland Walk tree work</t>
  </si>
  <si>
    <t>8m to 8.11.22</t>
  </si>
  <si>
    <t>Est. 4 mths</t>
  </si>
  <si>
    <t>Election costs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</si>
</sst>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#,##0.00_ ;\-#,##0.00\ "/>
    <numFmt numFmtId="167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3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3" fillId="0" borderId="0" xfId="2" applyFont="1"/>
    <xf numFmtId="0" fontId="1" fillId="0" borderId="0" xfId="2" applyAlignment="1">
      <alignment horizontal="left" indent="1"/>
    </xf>
    <xf numFmtId="0" fontId="1" fillId="0" borderId="0" xfId="2"/>
    <xf numFmtId="37" fontId="1" fillId="0" borderId="0" xfId="2" applyNumberFormat="1"/>
    <xf numFmtId="0" fontId="0" fillId="0" borderId="0" xfId="2" applyFont="1"/>
    <xf numFmtId="0" fontId="1" fillId="0" borderId="0" xfId="2" applyAlignment="1">
      <alignment horizontal="center"/>
    </xf>
    <xf numFmtId="37" fontId="1" fillId="0" borderId="0" xfId="2" applyNumberFormat="1" applyAlignment="1">
      <alignment horizontal="center"/>
    </xf>
    <xf numFmtId="37" fontId="1" fillId="0" borderId="0" xfId="2" applyNumberFormat="1" applyAlignment="1">
      <alignment wrapText="1"/>
    </xf>
    <xf numFmtId="37" fontId="0" fillId="0" borderId="0" xfId="2" applyNumberFormat="1" applyFont="1" applyAlignment="1">
      <alignment horizontal="center" wrapText="1"/>
    </xf>
    <xf numFmtId="0" fontId="2" fillId="0" borderId="0" xfId="2" applyFont="1" applyAlignment="1">
      <alignment horizontal="left" indent="1"/>
    </xf>
    <xf numFmtId="3" fontId="1" fillId="0" borderId="0" xfId="2" applyNumberFormat="1"/>
    <xf numFmtId="3" fontId="2" fillId="0" borderId="0" xfId="2" applyNumberFormat="1" applyFont="1" applyAlignment="1">
      <alignment horizontal="left" indent="1"/>
    </xf>
    <xf numFmtId="37" fontId="1" fillId="0" borderId="0" xfId="3" applyNumberFormat="1"/>
    <xf numFmtId="3" fontId="1" fillId="0" borderId="0" xfId="2" applyNumberFormat="1" applyAlignment="1">
      <alignment horizontal="left" indent="1"/>
    </xf>
    <xf numFmtId="37" fontId="1" fillId="2" borderId="0" xfId="1" applyNumberFormat="1" applyFont="1" applyFill="1"/>
    <xf numFmtId="9" fontId="1" fillId="0" borderId="0" xfId="1" applyFont="1"/>
    <xf numFmtId="37" fontId="1" fillId="0" borderId="0" xfId="1" applyNumberFormat="1" applyFont="1"/>
    <xf numFmtId="3" fontId="0" fillId="0" borderId="0" xfId="2" applyNumberFormat="1" applyFont="1" applyAlignment="1">
      <alignment horizontal="left" indent="1"/>
    </xf>
    <xf numFmtId="37" fontId="1" fillId="0" borderId="1" xfId="2" applyNumberFormat="1" applyBorder="1"/>
    <xf numFmtId="37" fontId="1" fillId="0" borderId="2" xfId="2" applyNumberFormat="1" applyBorder="1"/>
    <xf numFmtId="37" fontId="1" fillId="0" borderId="3" xfId="2" applyNumberFormat="1" applyBorder="1"/>
    <xf numFmtId="3" fontId="1" fillId="0" borderId="3" xfId="2" applyNumberFormat="1" applyBorder="1"/>
    <xf numFmtId="3" fontId="1" fillId="0" borderId="2" xfId="2" applyNumberFormat="1" applyBorder="1"/>
    <xf numFmtId="37" fontId="1" fillId="3" borderId="0" xfId="2" applyNumberFormat="1" applyFill="1"/>
    <xf numFmtId="39" fontId="1" fillId="0" borderId="0" xfId="2" applyNumberFormat="1"/>
    <xf numFmtId="10" fontId="1" fillId="0" borderId="0" xfId="1" applyNumberFormat="1" applyFont="1"/>
    <xf numFmtId="164" fontId="1" fillId="0" borderId="0" xfId="1" applyNumberFormat="1" applyFont="1"/>
    <xf numFmtId="0" fontId="0" fillId="0" borderId="0" xfId="2" applyFont="1" applyAlignment="1">
      <alignment horizontal="left" indent="1"/>
    </xf>
    <xf numFmtId="165" fontId="1" fillId="0" borderId="0" xfId="2" applyNumberFormat="1"/>
    <xf numFmtId="165" fontId="0" fillId="0" borderId="0" xfId="2" applyNumberFormat="1" applyFont="1" applyAlignment="1">
      <alignment horizontal="left" indent="1"/>
    </xf>
    <xf numFmtId="165" fontId="1" fillId="0" borderId="0" xfId="1" applyNumberFormat="1" applyFont="1"/>
    <xf numFmtId="0" fontId="8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10" fillId="0" borderId="0" xfId="0" applyFont="1"/>
    <xf numFmtId="3" fontId="11" fillId="0" borderId="0" xfId="0" applyNumberFormat="1" applyFont="1"/>
    <xf numFmtId="3" fontId="0" fillId="0" borderId="0" xfId="0" applyNumberFormat="1"/>
    <xf numFmtId="0" fontId="10" fillId="0" borderId="0" xfId="0" applyFont="1" applyAlignment="1">
      <alignment wrapText="1"/>
    </xf>
    <xf numFmtId="3" fontId="0" fillId="0" borderId="2" xfId="0" applyNumberFormat="1" applyBorder="1"/>
    <xf numFmtId="3" fontId="0" fillId="0" borderId="4" xfId="0" applyNumberFormat="1" applyBorder="1"/>
    <xf numFmtId="4" fontId="0" fillId="0" borderId="4" xfId="0" applyNumberFormat="1" applyBorder="1"/>
    <xf numFmtId="3" fontId="0" fillId="0" borderId="0" xfId="0" applyNumberFormat="1" applyAlignment="1">
      <alignment horizontal="center"/>
    </xf>
    <xf numFmtId="166" fontId="1" fillId="0" borderId="0" xfId="2" applyNumberFormat="1"/>
    <xf numFmtId="3" fontId="1" fillId="0" borderId="1" xfId="2" applyNumberFormat="1" applyBorder="1"/>
    <xf numFmtId="43" fontId="1" fillId="0" borderId="0" xfId="45" applyBorder="1"/>
    <xf numFmtId="37" fontId="1" fillId="0" borderId="0" xfId="2" applyNumberFormat="1" applyAlignment="1">
      <alignment horizontal="left" indent="1"/>
    </xf>
    <xf numFmtId="0" fontId="12" fillId="0" borderId="0" xfId="2" applyFont="1"/>
    <xf numFmtId="167" fontId="1" fillId="0" borderId="0" xfId="3" applyNumberFormat="1"/>
    <xf numFmtId="37" fontId="0" fillId="0" borderId="0" xfId="2" applyNumberFormat="1" applyFont="1" applyAlignment="1">
      <alignment horizontal="right"/>
    </xf>
    <xf numFmtId="167" fontId="1" fillId="0" borderId="0" xfId="2" applyNumberFormat="1"/>
    <xf numFmtId="14" fontId="0" fillId="0" borderId="0" xfId="2" applyNumberFormat="1" applyFont="1" applyAlignment="1">
      <alignment horizontal="right"/>
    </xf>
    <xf numFmtId="37" fontId="0" fillId="0" borderId="0" xfId="2" applyNumberFormat="1" applyFont="1"/>
    <xf numFmtId="4" fontId="0" fillId="0" borderId="0" xfId="0" applyNumberFormat="1"/>
    <xf numFmtId="4" fontId="0" fillId="0" borderId="2" xfId="0" applyNumberFormat="1" applyBorder="1"/>
    <xf numFmtId="43" fontId="0" fillId="0" borderId="0" xfId="45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2" fillId="0" borderId="0" xfId="0" quotePrefix="1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5" fontId="0" fillId="0" borderId="0" xfId="0" applyNumberFormat="1"/>
    <xf numFmtId="4" fontId="11" fillId="3" borderId="0" xfId="0" applyNumberFormat="1" applyFont="1" applyFill="1"/>
  </cellXfs>
  <cellStyles count="93">
    <cellStyle name="Comma" xfId="45" builtinId="3"/>
    <cellStyle name="Comma 2" xfId="4"/>
    <cellStyle name="Comma 2 2" xfId="5"/>
    <cellStyle name="Comma 2 2 2" xfId="52"/>
    <cellStyle name="Comma 2 3" xfId="50"/>
    <cellStyle name="Comma 2 4" xfId="53"/>
    <cellStyle name="Comma 3" xfId="6"/>
    <cellStyle name="Comma 3 2" xfId="48"/>
    <cellStyle name="Comma 3 2 2" xfId="54"/>
    <cellStyle name="Comma 3 3" xfId="55"/>
    <cellStyle name="Normal" xfId="0" builtinId="0"/>
    <cellStyle name="Normal 10" xfId="7"/>
    <cellStyle name="Normal 10 2" xfId="8"/>
    <cellStyle name="Normal 10 2 2" xfId="56"/>
    <cellStyle name="Normal 10 3" xfId="57"/>
    <cellStyle name="Normal 11" xfId="9"/>
    <cellStyle name="Normal 11 2" xfId="10"/>
    <cellStyle name="Normal 11 2 2" xfId="58"/>
    <cellStyle name="Normal 11 3" xfId="59"/>
    <cellStyle name="Normal 12" xfId="47"/>
    <cellStyle name="Normal 12 2" xfId="60"/>
    <cellStyle name="Normal 13" xfId="61"/>
    <cellStyle name="Normal 2" xfId="11"/>
    <cellStyle name="Normal 2 2" xfId="12"/>
    <cellStyle name="Normal 2 2 2" xfId="13"/>
    <cellStyle name="Normal 2 2 2 2" xfId="14"/>
    <cellStyle name="Normal 2 2 2 2 2" xfId="62"/>
    <cellStyle name="Normal 2 2 2 3" xfId="63"/>
    <cellStyle name="Normal 2 2 3" xfId="15"/>
    <cellStyle name="Normal 2 2 3 2" xfId="64"/>
    <cellStyle name="Normal 2 2 4" xfId="65"/>
    <cellStyle name="Normal 2 3" xfId="16"/>
    <cellStyle name="Normal 2 3 2" xfId="17"/>
    <cellStyle name="Normal 2 3 2 2" xfId="66"/>
    <cellStyle name="Normal 2 3 3" xfId="67"/>
    <cellStyle name="Normal 2 4" xfId="18"/>
    <cellStyle name="Normal 2 5" xfId="19"/>
    <cellStyle name="Normal 2 5 2" xfId="68"/>
    <cellStyle name="Normal 2 6" xfId="49"/>
    <cellStyle name="Normal 2 7" xfId="69"/>
    <cellStyle name="Normal 3" xfId="20"/>
    <cellStyle name="Normal 4" xfId="21"/>
    <cellStyle name="Normal 4 2" xfId="22"/>
    <cellStyle name="Normal 4 2 2" xfId="23"/>
    <cellStyle name="Normal 4 2 2 2" xfId="70"/>
    <cellStyle name="Normal 4 2 3" xfId="71"/>
    <cellStyle name="Normal 4 3" xfId="24"/>
    <cellStyle name="Normal 4 3 2" xfId="25"/>
    <cellStyle name="Normal 4 3 2 2" xfId="72"/>
    <cellStyle name="Normal 4 3 3" xfId="73"/>
    <cellStyle name="Normal 4 4" xfId="26"/>
    <cellStyle name="Normal 4 4 2" xfId="74"/>
    <cellStyle name="Normal 4 5" xfId="75"/>
    <cellStyle name="Normal 5" xfId="27"/>
    <cellStyle name="Normal 5 2" xfId="28"/>
    <cellStyle name="Normal 5 2 2" xfId="29"/>
    <cellStyle name="Normal 5 2 2 2" xfId="76"/>
    <cellStyle name="Normal 5 2 3" xfId="77"/>
    <cellStyle name="Normal 5 3" xfId="30"/>
    <cellStyle name="Normal 5 3 2" xfId="31"/>
    <cellStyle name="Normal 5 3 2 2" xfId="78"/>
    <cellStyle name="Normal 5 3 3" xfId="79"/>
    <cellStyle name="Normal 5 4" xfId="32"/>
    <cellStyle name="Normal 5 4 2" xfId="80"/>
    <cellStyle name="Normal 5 5" xfId="81"/>
    <cellStyle name="Normal 6" xfId="33"/>
    <cellStyle name="Normal 6 2" xfId="34"/>
    <cellStyle name="Normal 6 2 2" xfId="35"/>
    <cellStyle name="Normal 6 2 2 2" xfId="82"/>
    <cellStyle name="Normal 6 2 3" xfId="83"/>
    <cellStyle name="Normal 6 3" xfId="36"/>
    <cellStyle name="Normal 6 3 2" xfId="37"/>
    <cellStyle name="Normal 6 3 2 2" xfId="84"/>
    <cellStyle name="Normal 6 3 3" xfId="85"/>
    <cellStyle name="Normal 6 4" xfId="38"/>
    <cellStyle name="Normal 6 4 2" xfId="86"/>
    <cellStyle name="Normal 6 5" xfId="87"/>
    <cellStyle name="Normal 7" xfId="39"/>
    <cellStyle name="Normal 8" xfId="40"/>
    <cellStyle name="Normal 9" xfId="2"/>
    <cellStyle name="Normal 9 2" xfId="41"/>
    <cellStyle name="Normal 9 2 2" xfId="42"/>
    <cellStyle name="Normal 9 2 2 2" xfId="51"/>
    <cellStyle name="Normal 9 2 3" xfId="3"/>
    <cellStyle name="Normal 9 2 3 2" xfId="88"/>
    <cellStyle name="Normal 9 2 4" xfId="89"/>
    <cellStyle name="Normal 9 3" xfId="43"/>
    <cellStyle name="Normal 9 3 2" xfId="90"/>
    <cellStyle name="Normal 9 4" xfId="44"/>
    <cellStyle name="Normal 9 4 2" xfId="91"/>
    <cellStyle name="Normal 9 5" xfId="92"/>
    <cellStyle name="Percent" xfId="1" builtinId="5"/>
    <cellStyle name="Percen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1"/>
  <sheetViews>
    <sheetView view="pageBreakPreview" topLeftCell="A13" zoomScaleNormal="100" zoomScaleSheetLayoutView="100" workbookViewId="0">
      <selection activeCell="H20" sqref="H20"/>
    </sheetView>
  </sheetViews>
  <sheetFormatPr defaultColWidth="9.140625" defaultRowHeight="15"/>
  <cols>
    <col min="1" max="1" width="10.7109375" style="3" bestFit="1" customWidth="1"/>
    <col min="2" max="2" width="27" style="2" customWidth="1"/>
    <col min="3" max="3" width="2.28515625" style="3" customWidth="1"/>
    <col min="4" max="4" width="11.7109375" style="4" customWidth="1"/>
    <col min="5" max="5" width="10.42578125" style="4" bestFit="1" customWidth="1"/>
    <col min="6" max="8" width="10.28515625" style="4" bestFit="1" customWidth="1"/>
    <col min="9" max="9" width="9.140625" style="4" hidden="1" customWidth="1"/>
    <col min="10" max="10" width="4.42578125" style="3" customWidth="1"/>
    <col min="11" max="12" width="9.140625" style="3"/>
    <col min="13" max="15" width="10.5703125" style="3" bestFit="1" customWidth="1"/>
    <col min="16" max="16384" width="9.140625" style="3"/>
  </cols>
  <sheetData>
    <row r="1" spans="1:11" ht="18.75">
      <c r="A1" s="1" t="s">
        <v>0</v>
      </c>
    </row>
    <row r="2" spans="1:11" ht="8.25" customHeight="1"/>
    <row r="3" spans="1:11">
      <c r="A3" s="5" t="s">
        <v>110</v>
      </c>
    </row>
    <row r="4" spans="1:11">
      <c r="A4" s="5" t="s">
        <v>111</v>
      </c>
    </row>
    <row r="5" spans="1:11" ht="30" customHeight="1">
      <c r="A5" s="6" t="s">
        <v>1</v>
      </c>
      <c r="D5" s="7" t="s">
        <v>1</v>
      </c>
      <c r="E5" s="7" t="s">
        <v>2</v>
      </c>
      <c r="F5" s="8" t="s">
        <v>3</v>
      </c>
      <c r="G5" s="7" t="s">
        <v>4</v>
      </c>
      <c r="H5" s="9" t="s">
        <v>5</v>
      </c>
    </row>
    <row r="6" spans="1:11">
      <c r="A6" s="53" t="s">
        <v>6</v>
      </c>
      <c r="B6" s="10"/>
      <c r="D6" s="51" t="s">
        <v>128</v>
      </c>
      <c r="E6" s="54" t="s">
        <v>129</v>
      </c>
      <c r="F6" s="54" t="s">
        <v>45</v>
      </c>
      <c r="G6" s="54" t="s">
        <v>45</v>
      </c>
      <c r="H6" s="51" t="s">
        <v>112</v>
      </c>
      <c r="I6" s="7" t="s">
        <v>7</v>
      </c>
      <c r="J6" s="6"/>
    </row>
    <row r="7" spans="1:11">
      <c r="A7" s="6" t="s">
        <v>8</v>
      </c>
      <c r="D7" s="6" t="s">
        <v>8</v>
      </c>
      <c r="E7" s="6" t="s">
        <v>8</v>
      </c>
      <c r="F7" s="6" t="s">
        <v>8</v>
      </c>
      <c r="G7" s="6" t="s">
        <v>8</v>
      </c>
      <c r="H7" s="6" t="s">
        <v>8</v>
      </c>
    </row>
    <row r="8" spans="1:11">
      <c r="A8" s="11"/>
      <c r="B8" s="12" t="s">
        <v>9</v>
      </c>
      <c r="C8" s="11"/>
    </row>
    <row r="9" spans="1:11">
      <c r="A9" s="13">
        <v>6624.34</v>
      </c>
      <c r="B9" s="14" t="s">
        <v>10</v>
      </c>
      <c r="C9" s="11"/>
      <c r="D9" s="4">
        <f>3390.2+345.91+86.4+134.95+345.71+86.6+134.95</f>
        <v>4524.7199999999993</v>
      </c>
      <c r="E9" s="4">
        <f>(496.47*4)+134.95+226.99+(146.46*3)</f>
        <v>2787.2</v>
      </c>
      <c r="F9" s="4">
        <f t="shared" ref="F9:F29" si="0">E9+D9</f>
        <v>7311.9199999999992</v>
      </c>
      <c r="G9" s="4">
        <v>7500</v>
      </c>
      <c r="H9" s="4">
        <v>7500</v>
      </c>
      <c r="I9" s="15">
        <f>D9/G9</f>
        <v>0.60329599999999994</v>
      </c>
      <c r="J9" s="16"/>
      <c r="K9" s="4"/>
    </row>
    <row r="10" spans="1:11">
      <c r="A10" s="13">
        <v>300</v>
      </c>
      <c r="B10" s="14" t="s">
        <v>11</v>
      </c>
      <c r="C10" s="11"/>
      <c r="D10" s="4">
        <v>200</v>
      </c>
      <c r="F10" s="4">
        <f t="shared" si="0"/>
        <v>200</v>
      </c>
      <c r="G10" s="4">
        <v>300</v>
      </c>
      <c r="H10" s="4">
        <v>315</v>
      </c>
      <c r="I10" s="15">
        <f t="shared" ref="I10:I27" si="1">D10/G10</f>
        <v>0.66666666666666663</v>
      </c>
      <c r="J10" s="16"/>
    </row>
    <row r="11" spans="1:11">
      <c r="A11" s="13">
        <v>75</v>
      </c>
      <c r="B11" s="14" t="s">
        <v>12</v>
      </c>
      <c r="C11" s="11"/>
      <c r="D11" s="4">
        <v>75</v>
      </c>
      <c r="F11" s="4">
        <f t="shared" si="0"/>
        <v>75</v>
      </c>
      <c r="G11" s="4">
        <v>80</v>
      </c>
      <c r="H11" s="4">
        <v>80</v>
      </c>
      <c r="I11" s="15">
        <f t="shared" si="1"/>
        <v>0.9375</v>
      </c>
      <c r="J11" s="16"/>
    </row>
    <row r="12" spans="1:11">
      <c r="A12" s="13">
        <v>304.3</v>
      </c>
      <c r="B12" s="14" t="s">
        <v>13</v>
      </c>
      <c r="C12" s="11"/>
      <c r="D12" s="4">
        <v>304.3</v>
      </c>
      <c r="F12" s="4">
        <f t="shared" si="0"/>
        <v>304.3</v>
      </c>
      <c r="G12" s="4">
        <v>350</v>
      </c>
      <c r="H12" s="4">
        <v>350</v>
      </c>
      <c r="I12" s="15">
        <f t="shared" si="1"/>
        <v>0.86942857142857144</v>
      </c>
      <c r="J12" s="16"/>
    </row>
    <row r="13" spans="1:11">
      <c r="A13" s="13">
        <v>7209.2</v>
      </c>
      <c r="B13" s="14" t="s">
        <v>14</v>
      </c>
      <c r="C13" s="11"/>
      <c r="D13" s="4">
        <v>3540</v>
      </c>
      <c r="E13" s="4">
        <v>3700</v>
      </c>
      <c r="F13" s="4">
        <f t="shared" si="0"/>
        <v>7240</v>
      </c>
      <c r="G13" s="4">
        <v>7500</v>
      </c>
      <c r="H13" s="4">
        <v>8000</v>
      </c>
      <c r="I13" s="15">
        <f t="shared" si="1"/>
        <v>0.47199999999999998</v>
      </c>
      <c r="J13" s="16"/>
    </row>
    <row r="14" spans="1:11">
      <c r="A14" s="50">
        <v>110</v>
      </c>
      <c r="B14" s="14" t="s">
        <v>15</v>
      </c>
      <c r="C14" s="11"/>
      <c r="D14" s="4">
        <v>55</v>
      </c>
      <c r="F14" s="4">
        <f t="shared" si="0"/>
        <v>55</v>
      </c>
      <c r="G14" s="4">
        <v>100</v>
      </c>
      <c r="H14" s="4">
        <v>100</v>
      </c>
      <c r="I14" s="17">
        <f t="shared" si="1"/>
        <v>0.55000000000000004</v>
      </c>
      <c r="J14" s="16"/>
    </row>
    <row r="15" spans="1:11">
      <c r="A15" s="50">
        <v>308.49</v>
      </c>
      <c r="B15" s="14" t="s">
        <v>16</v>
      </c>
      <c r="C15" s="11"/>
      <c r="D15" s="4">
        <v>264.16000000000003</v>
      </c>
      <c r="E15" s="4">
        <f>16+40</f>
        <v>56</v>
      </c>
      <c r="F15" s="4">
        <f t="shared" si="0"/>
        <v>320.16000000000003</v>
      </c>
      <c r="G15" s="4">
        <v>300</v>
      </c>
      <c r="H15" s="4">
        <v>330</v>
      </c>
      <c r="I15" s="17">
        <f t="shared" si="1"/>
        <v>0.88053333333333339</v>
      </c>
      <c r="J15" s="16"/>
    </row>
    <row r="16" spans="1:11">
      <c r="A16" s="50">
        <v>319.61</v>
      </c>
      <c r="B16" s="14" t="s">
        <v>17</v>
      </c>
      <c r="C16" s="11"/>
      <c r="D16" s="4">
        <f>104.46+11.12+10.88+31.02</f>
        <v>157.47999999999999</v>
      </c>
      <c r="E16" s="4">
        <f>D16/7*4</f>
        <v>89.988571428571419</v>
      </c>
      <c r="F16" s="4">
        <f t="shared" si="0"/>
        <v>247.46857142857141</v>
      </c>
      <c r="G16" s="4">
        <v>550</v>
      </c>
      <c r="H16" s="4">
        <v>500</v>
      </c>
      <c r="I16" s="15">
        <f t="shared" si="1"/>
        <v>0.28632727272727271</v>
      </c>
      <c r="J16" s="16"/>
    </row>
    <row r="17" spans="1:16">
      <c r="A17" s="50">
        <v>283</v>
      </c>
      <c r="B17" s="18" t="s">
        <v>113</v>
      </c>
      <c r="C17" s="11"/>
      <c r="D17" s="4">
        <f>221+32+32</f>
        <v>285</v>
      </c>
      <c r="E17" s="4">
        <f>D17/7*4</f>
        <v>162.85714285714286</v>
      </c>
      <c r="F17" s="4">
        <f t="shared" si="0"/>
        <v>447.85714285714289</v>
      </c>
      <c r="G17" s="4">
        <v>450</v>
      </c>
      <c r="H17" s="4">
        <v>400</v>
      </c>
      <c r="I17" s="15">
        <f t="shared" si="1"/>
        <v>0.6333333333333333</v>
      </c>
      <c r="J17" s="16"/>
    </row>
    <row r="18" spans="1:16">
      <c r="A18" s="50">
        <v>180</v>
      </c>
      <c r="B18" s="14" t="s">
        <v>18</v>
      </c>
      <c r="C18" s="11"/>
      <c r="D18" s="4">
        <v>80</v>
      </c>
      <c r="E18" s="4">
        <v>120</v>
      </c>
      <c r="F18" s="4">
        <f t="shared" si="0"/>
        <v>200</v>
      </c>
      <c r="G18" s="4">
        <v>250</v>
      </c>
      <c r="H18" s="4">
        <v>250</v>
      </c>
      <c r="I18" s="15">
        <f t="shared" si="1"/>
        <v>0.32</v>
      </c>
      <c r="J18" s="16"/>
    </row>
    <row r="19" spans="1:16">
      <c r="A19" s="50">
        <v>2010.26</v>
      </c>
      <c r="B19" s="14" t="s">
        <v>19</v>
      </c>
      <c r="C19" s="11"/>
      <c r="D19" s="4">
        <f>1102.56+5.4</f>
        <v>1107.96</v>
      </c>
      <c r="F19" s="4">
        <f t="shared" si="0"/>
        <v>1107.96</v>
      </c>
      <c r="G19" s="4">
        <v>500</v>
      </c>
      <c r="H19" s="4">
        <v>500</v>
      </c>
      <c r="I19" s="17">
        <f t="shared" si="1"/>
        <v>2.2159200000000001</v>
      </c>
      <c r="J19" s="16"/>
    </row>
    <row r="20" spans="1:16">
      <c r="A20" s="50"/>
      <c r="B20" s="18" t="s">
        <v>127</v>
      </c>
      <c r="C20" s="11"/>
      <c r="H20" s="4">
        <v>200</v>
      </c>
      <c r="I20" s="17"/>
      <c r="J20" s="16"/>
    </row>
    <row r="21" spans="1:16">
      <c r="A21" s="50">
        <v>104.1</v>
      </c>
      <c r="B21" s="14" t="s">
        <v>20</v>
      </c>
      <c r="C21" s="11"/>
      <c r="D21" s="4">
        <f>60+17.5+15+15+22.5</f>
        <v>130</v>
      </c>
      <c r="E21" s="4">
        <v>40</v>
      </c>
      <c r="F21" s="4">
        <f t="shared" si="0"/>
        <v>170</v>
      </c>
      <c r="G21" s="4">
        <v>150</v>
      </c>
      <c r="H21" s="4">
        <v>150</v>
      </c>
      <c r="I21" s="17">
        <f t="shared" si="1"/>
        <v>0.8666666666666667</v>
      </c>
      <c r="J21" s="16"/>
    </row>
    <row r="22" spans="1:16">
      <c r="A22" s="52"/>
      <c r="B22" s="18" t="s">
        <v>21</v>
      </c>
      <c r="C22" s="11"/>
      <c r="D22" s="4">
        <v>663.83</v>
      </c>
      <c r="F22" s="4">
        <f t="shared" si="0"/>
        <v>663.83</v>
      </c>
      <c r="G22" s="4">
        <v>500</v>
      </c>
      <c r="H22" s="4">
        <v>700</v>
      </c>
      <c r="I22" s="17">
        <f t="shared" si="1"/>
        <v>1.3276600000000001</v>
      </c>
      <c r="J22" s="16"/>
    </row>
    <row r="23" spans="1:16">
      <c r="A23" s="13"/>
      <c r="B23" s="18" t="s">
        <v>108</v>
      </c>
      <c r="C23" s="11"/>
      <c r="H23" s="4">
        <v>150</v>
      </c>
      <c r="I23" s="17"/>
      <c r="J23" s="16"/>
    </row>
    <row r="24" spans="1:16">
      <c r="A24" s="13"/>
      <c r="B24" s="18" t="s">
        <v>109</v>
      </c>
      <c r="C24" s="11"/>
      <c r="H24" s="4">
        <v>349</v>
      </c>
      <c r="I24" s="17"/>
      <c r="J24" s="16"/>
      <c r="L24" s="49"/>
    </row>
    <row r="25" spans="1:16">
      <c r="A25" s="4">
        <v>35</v>
      </c>
      <c r="B25" s="14" t="s">
        <v>22</v>
      </c>
      <c r="C25" s="11"/>
      <c r="D25" s="4">
        <v>35</v>
      </c>
      <c r="F25" s="4">
        <f t="shared" si="0"/>
        <v>35</v>
      </c>
      <c r="G25" s="4">
        <v>50</v>
      </c>
      <c r="H25" s="4">
        <v>50</v>
      </c>
      <c r="I25" s="17">
        <f t="shared" si="1"/>
        <v>0.7</v>
      </c>
      <c r="J25" s="16"/>
    </row>
    <row r="26" spans="1:16">
      <c r="A26" s="4"/>
      <c r="B26" s="18" t="s">
        <v>107</v>
      </c>
      <c r="C26" s="11"/>
      <c r="G26" s="4">
        <v>2000</v>
      </c>
      <c r="H26" s="4">
        <v>2000</v>
      </c>
      <c r="I26" s="17"/>
      <c r="J26" s="16"/>
    </row>
    <row r="27" spans="1:16">
      <c r="A27" s="11"/>
      <c r="B27" s="18" t="s">
        <v>23</v>
      </c>
      <c r="C27" s="11"/>
      <c r="E27" s="4">
        <v>1550</v>
      </c>
      <c r="F27" s="4">
        <f t="shared" si="0"/>
        <v>1550</v>
      </c>
      <c r="G27" s="4">
        <v>1550</v>
      </c>
      <c r="H27" s="4">
        <v>1550</v>
      </c>
      <c r="I27" s="17">
        <f t="shared" si="1"/>
        <v>0</v>
      </c>
      <c r="J27" s="16"/>
    </row>
    <row r="28" spans="1:16">
      <c r="A28" s="11"/>
      <c r="B28" s="18" t="s">
        <v>130</v>
      </c>
      <c r="C28" s="11"/>
      <c r="H28" s="4">
        <v>640</v>
      </c>
      <c r="I28" s="17"/>
      <c r="J28" s="16"/>
    </row>
    <row r="29" spans="1:16">
      <c r="A29" s="11">
        <v>346</v>
      </c>
      <c r="B29" s="18" t="s">
        <v>97</v>
      </c>
      <c r="C29" s="11"/>
      <c r="F29" s="4">
        <f t="shared" si="0"/>
        <v>0</v>
      </c>
    </row>
    <row r="30" spans="1:16">
      <c r="A30" s="11"/>
      <c r="B30" s="12" t="s">
        <v>24</v>
      </c>
      <c r="C30" s="11"/>
      <c r="M30" s="25"/>
      <c r="N30" s="47"/>
      <c r="O30" s="45"/>
      <c r="P30" s="45"/>
    </row>
    <row r="31" spans="1:16" s="29" customFormat="1">
      <c r="A31" s="52">
        <v>-5</v>
      </c>
      <c r="B31" s="30" t="s">
        <v>25</v>
      </c>
      <c r="F31" s="29">
        <f t="shared" ref="F31:F34" si="2">E31+D31</f>
        <v>0</v>
      </c>
      <c r="I31" s="31" t="e">
        <f>D31/G31</f>
        <v>#DIV/0!</v>
      </c>
      <c r="J31" s="31"/>
    </row>
    <row r="32" spans="1:16" s="29" customFormat="1">
      <c r="A32" s="52">
        <v>-161.74</v>
      </c>
      <c r="B32" s="30" t="s">
        <v>26</v>
      </c>
      <c r="D32" s="29">
        <v>-161.74</v>
      </c>
      <c r="F32" s="29">
        <f>E32+D32</f>
        <v>-161.74</v>
      </c>
      <c r="G32" s="29">
        <v>-162</v>
      </c>
      <c r="H32" s="29">
        <v>-162</v>
      </c>
      <c r="I32" s="31"/>
      <c r="J32" s="31"/>
    </row>
    <row r="33" spans="1:10" s="29" customFormat="1">
      <c r="A33" s="52">
        <v>-514.75</v>
      </c>
      <c r="B33" s="30" t="s">
        <v>27</v>
      </c>
      <c r="D33" s="29">
        <v>-52.97</v>
      </c>
      <c r="E33" s="29">
        <v>-150</v>
      </c>
      <c r="F33" s="29">
        <f t="shared" si="2"/>
        <v>-202.97</v>
      </c>
      <c r="G33" s="29">
        <v>-300</v>
      </c>
      <c r="H33" s="29">
        <v>-200</v>
      </c>
      <c r="I33" s="31">
        <f>D33/G33</f>
        <v>0.17656666666666665</v>
      </c>
      <c r="J33" s="31"/>
    </row>
    <row r="34" spans="1:10" s="29" customFormat="1">
      <c r="A34" s="52">
        <v>-41.47</v>
      </c>
      <c r="B34" s="30" t="s">
        <v>98</v>
      </c>
      <c r="E34" s="29">
        <v>-40</v>
      </c>
      <c r="F34" s="29">
        <f t="shared" si="2"/>
        <v>-40</v>
      </c>
      <c r="I34" s="31"/>
      <c r="J34" s="31"/>
    </row>
    <row r="35" spans="1:10">
      <c r="A35" s="11"/>
      <c r="B35" s="14"/>
      <c r="C35" s="11"/>
    </row>
    <row r="36" spans="1:10">
      <c r="A36" s="46">
        <f>SUM(A9:A35)</f>
        <v>17486.339999999997</v>
      </c>
      <c r="B36" s="14"/>
      <c r="C36" s="11"/>
      <c r="D36" s="19">
        <f>SUM(D9:D35)</f>
        <v>11207.74</v>
      </c>
      <c r="E36" s="19">
        <f>SUM(E9:E35)</f>
        <v>8316.045714285714</v>
      </c>
      <c r="F36" s="19">
        <f>SUM(F9:F35)</f>
        <v>19523.785714285714</v>
      </c>
      <c r="G36" s="19">
        <f>SUM(G9:G35)</f>
        <v>21668</v>
      </c>
      <c r="H36" s="19">
        <f>SUM(H9:H35)</f>
        <v>23752</v>
      </c>
      <c r="I36" s="17">
        <f t="shared" ref="I36" si="3">D36/G36</f>
        <v>0.51724847701679899</v>
      </c>
      <c r="J36" s="16"/>
    </row>
    <row r="37" spans="1:10">
      <c r="A37" s="11"/>
      <c r="B37" s="14"/>
      <c r="C37" s="11"/>
    </row>
    <row r="38" spans="1:10" ht="15.75" thickBot="1">
      <c r="A38" s="4">
        <v>16500</v>
      </c>
      <c r="B38" s="14" t="s">
        <v>5</v>
      </c>
      <c r="C38" s="11"/>
      <c r="D38" s="4">
        <v>16500</v>
      </c>
      <c r="F38" s="4">
        <v>21668</v>
      </c>
      <c r="G38" s="4">
        <v>21668</v>
      </c>
      <c r="H38" s="20">
        <v>23752</v>
      </c>
      <c r="I38" s="17">
        <f>D38/G38</f>
        <v>0.76149160051689124</v>
      </c>
      <c r="J38" s="16"/>
    </row>
    <row r="39" spans="1:10" ht="15.75" thickTop="1">
      <c r="A39" s="11"/>
      <c r="B39" s="14"/>
      <c r="C39" s="11"/>
      <c r="I39" s="17"/>
      <c r="J39" s="16"/>
    </row>
    <row r="40" spans="1:10">
      <c r="A40" s="52">
        <f>A38-A36</f>
        <v>-986.33999999999651</v>
      </c>
      <c r="B40" s="14" t="s">
        <v>28</v>
      </c>
      <c r="C40" s="11"/>
      <c r="D40" s="29"/>
      <c r="E40" s="29"/>
      <c r="F40" s="29">
        <f t="shared" ref="F40" si="4">F38-F36</f>
        <v>2144.2142857142862</v>
      </c>
      <c r="G40" s="29">
        <f>G38-G36</f>
        <v>0</v>
      </c>
      <c r="H40" s="29">
        <f>H38-H36</f>
        <v>0</v>
      </c>
    </row>
    <row r="41" spans="1:10">
      <c r="A41" s="4"/>
      <c r="B41" s="14"/>
      <c r="C41" s="11"/>
      <c r="D41" s="29"/>
      <c r="E41" s="29"/>
      <c r="F41" s="29"/>
      <c r="G41" s="29"/>
      <c r="H41" s="29"/>
    </row>
    <row r="42" spans="1:10" hidden="1">
      <c r="A42" s="4">
        <v>6934.78</v>
      </c>
      <c r="B42" s="14" t="s">
        <v>29</v>
      </c>
      <c r="C42" s="11"/>
      <c r="D42" s="4">
        <v>3594.23</v>
      </c>
      <c r="F42" s="4">
        <f>E42+D42</f>
        <v>3594.23</v>
      </c>
      <c r="I42" s="17" t="e">
        <f>D42/G42</f>
        <v>#DIV/0!</v>
      </c>
      <c r="J42" s="16"/>
    </row>
    <row r="43" spans="1:10" hidden="1">
      <c r="A43" s="4">
        <v>-6826.36</v>
      </c>
      <c r="B43" s="14" t="s">
        <v>30</v>
      </c>
      <c r="C43" s="11"/>
      <c r="D43" s="4">
        <v>-2903.2000000000003</v>
      </c>
      <c r="E43" s="4">
        <v>-300</v>
      </c>
      <c r="F43" s="4">
        <f>E43+D43</f>
        <v>-3203.2000000000003</v>
      </c>
      <c r="I43" s="17" t="e">
        <f>D43/G43</f>
        <v>#DIV/0!</v>
      </c>
      <c r="J43" s="16"/>
    </row>
    <row r="44" spans="1:10" hidden="1">
      <c r="A44" s="4">
        <v>1000</v>
      </c>
      <c r="B44" s="48" t="s">
        <v>99</v>
      </c>
      <c r="C44" s="11"/>
      <c r="I44" s="17"/>
      <c r="J44" s="16"/>
    </row>
    <row r="45" spans="1:10" hidden="1">
      <c r="A45" s="4">
        <v>-1000</v>
      </c>
      <c r="B45" s="48" t="s">
        <v>99</v>
      </c>
      <c r="C45" s="11"/>
      <c r="I45" s="17"/>
      <c r="J45" s="16"/>
    </row>
    <row r="46" spans="1:10" hidden="1">
      <c r="A46" s="4">
        <v>5000</v>
      </c>
      <c r="B46" s="48" t="s">
        <v>100</v>
      </c>
      <c r="C46" s="11"/>
      <c r="I46" s="17"/>
      <c r="J46" s="16"/>
    </row>
    <row r="47" spans="1:10" hidden="1">
      <c r="A47" s="4">
        <v>-5000</v>
      </c>
      <c r="B47" s="48" t="s">
        <v>100</v>
      </c>
      <c r="C47" s="11"/>
      <c r="I47" s="17"/>
      <c r="J47" s="16"/>
    </row>
    <row r="48" spans="1:10" hidden="1">
      <c r="A48" s="4">
        <v>-1500</v>
      </c>
      <c r="B48" s="48" t="s">
        <v>101</v>
      </c>
      <c r="C48" s="11"/>
      <c r="I48" s="17"/>
      <c r="J48" s="16"/>
    </row>
    <row r="49" spans="1:10" hidden="1">
      <c r="A49" s="4">
        <v>-2000</v>
      </c>
      <c r="B49" s="48" t="s">
        <v>102</v>
      </c>
      <c r="C49" s="11"/>
      <c r="I49" s="17"/>
      <c r="J49" s="16"/>
    </row>
    <row r="50" spans="1:10" hidden="1">
      <c r="A50" s="4">
        <v>0</v>
      </c>
      <c r="B50" s="48" t="s">
        <v>103</v>
      </c>
      <c r="C50" s="11"/>
      <c r="D50" s="4">
        <v>148.27000000000001</v>
      </c>
      <c r="E50" s="4">
        <v>50</v>
      </c>
      <c r="F50" s="4">
        <f>E50+D50</f>
        <v>198.27</v>
      </c>
      <c r="G50" s="4">
        <f>F50</f>
        <v>198.27</v>
      </c>
      <c r="I50" s="17">
        <f>D50/G50</f>
        <v>0.74781863115952996</v>
      </c>
      <c r="J50" s="16"/>
    </row>
    <row r="51" spans="1:10" hidden="1">
      <c r="A51" s="4">
        <v>-15362.05</v>
      </c>
      <c r="B51" s="48" t="s">
        <v>104</v>
      </c>
      <c r="C51" s="11"/>
      <c r="I51" s="17"/>
      <c r="J51" s="16"/>
    </row>
    <row r="52" spans="1:10" hidden="1">
      <c r="A52" s="4">
        <v>1047.2</v>
      </c>
      <c r="B52" s="14" t="s">
        <v>32</v>
      </c>
      <c r="C52" s="11"/>
      <c r="F52" s="4">
        <f t="shared" ref="F52:F53" si="5">E52+D52</f>
        <v>0</v>
      </c>
      <c r="I52" s="17"/>
      <c r="J52" s="16"/>
    </row>
    <row r="53" spans="1:10" hidden="1">
      <c r="A53" s="4">
        <v>-1047.2</v>
      </c>
      <c r="B53" s="14" t="s">
        <v>33</v>
      </c>
      <c r="C53" s="11"/>
      <c r="F53" s="4">
        <f t="shared" si="5"/>
        <v>0</v>
      </c>
      <c r="I53" s="17"/>
      <c r="J53" s="16"/>
    </row>
    <row r="54" spans="1:10" hidden="1">
      <c r="B54" s="14"/>
      <c r="C54" s="11"/>
      <c r="I54" s="17"/>
      <c r="J54" s="16"/>
    </row>
    <row r="55" spans="1:10" hidden="1">
      <c r="A55" s="11"/>
      <c r="B55" s="14" t="s">
        <v>34</v>
      </c>
      <c r="C55" s="11"/>
      <c r="F55" s="21">
        <f>-2300+168</f>
        <v>-2132</v>
      </c>
      <c r="G55" s="21">
        <v>12700</v>
      </c>
      <c r="H55" s="21">
        <v>17000</v>
      </c>
    </row>
    <row r="56" spans="1:10" hidden="1">
      <c r="A56" s="11"/>
      <c r="B56" s="14" t="s">
        <v>35</v>
      </c>
      <c r="C56" s="11"/>
      <c r="F56" s="4">
        <f>F40+F55</f>
        <v>12.214285714286234</v>
      </c>
      <c r="G56" s="4">
        <f>G40+G55</f>
        <v>12700</v>
      </c>
      <c r="H56" s="4">
        <f>H40+H55</f>
        <v>17000</v>
      </c>
    </row>
    <row r="57" spans="1:10" hidden="1">
      <c r="A57" s="11"/>
      <c r="B57" s="14"/>
      <c r="C57" s="11"/>
    </row>
    <row r="58" spans="1:10" hidden="1">
      <c r="A58" s="22">
        <v>57846.23</v>
      </c>
      <c r="B58" s="2" t="s">
        <v>36</v>
      </c>
      <c r="F58" s="21">
        <f>A64</f>
        <v>34791.22</v>
      </c>
      <c r="G58" s="21">
        <f>A64</f>
        <v>34791.22</v>
      </c>
      <c r="H58" s="21">
        <f>F64</f>
        <v>53037.42</v>
      </c>
    </row>
    <row r="59" spans="1:10" hidden="1">
      <c r="A59" s="11">
        <f>SUM(A40:A58)</f>
        <v>38106.260000000009</v>
      </c>
      <c r="F59" s="4">
        <f>F58+F40+F50</f>
        <v>37133.704285714288</v>
      </c>
      <c r="G59" s="4">
        <f>G58+G40+G50</f>
        <v>34989.49</v>
      </c>
      <c r="H59" s="4">
        <f>H58+H40</f>
        <v>53037.42</v>
      </c>
    </row>
    <row r="60" spans="1:10" hidden="1"/>
    <row r="61" spans="1:10" hidden="1">
      <c r="A61" s="4">
        <v>6462.57</v>
      </c>
      <c r="B61" s="14" t="s">
        <v>37</v>
      </c>
      <c r="F61" s="4">
        <f>A61+G56</f>
        <v>19162.57</v>
      </c>
      <c r="G61" s="4">
        <f>A61+G56</f>
        <v>19162.57</v>
      </c>
      <c r="H61" s="4">
        <f>A61+H56</f>
        <v>23462.57</v>
      </c>
      <c r="I61" s="4">
        <f t="shared" ref="I61" si="6">I59-I62-I63</f>
        <v>0</v>
      </c>
    </row>
    <row r="62" spans="1:10" hidden="1">
      <c r="A62" s="4">
        <v>8082.5</v>
      </c>
      <c r="B62" s="14" t="s">
        <v>31</v>
      </c>
      <c r="F62" s="4">
        <v>23660.35</v>
      </c>
      <c r="G62" s="4">
        <v>23660.35</v>
      </c>
      <c r="H62" s="4">
        <v>23660.35</v>
      </c>
    </row>
    <row r="63" spans="1:10" hidden="1">
      <c r="A63" s="4">
        <v>20246.150000000001</v>
      </c>
      <c r="B63" s="14" t="s">
        <v>38</v>
      </c>
      <c r="F63" s="4">
        <f>A62-F55</f>
        <v>10214.5</v>
      </c>
      <c r="G63" s="4">
        <v>17364</v>
      </c>
      <c r="H63" s="4">
        <f>27593-H55</f>
        <v>10593</v>
      </c>
    </row>
    <row r="64" spans="1:10" ht="15.75" hidden="1" thickBot="1">
      <c r="A64" s="23">
        <f>SUM(A61:A63)</f>
        <v>34791.22</v>
      </c>
      <c r="B64" s="2" t="s">
        <v>39</v>
      </c>
      <c r="F64" s="20">
        <f>SUM(F61:F63)</f>
        <v>53037.42</v>
      </c>
      <c r="G64" s="20">
        <f>SUM(G61:G63)</f>
        <v>60186.92</v>
      </c>
      <c r="H64" s="20">
        <f>SUM(H61:H63)</f>
        <v>57715.92</v>
      </c>
    </row>
    <row r="66" spans="1:9">
      <c r="A66" s="3">
        <v>441</v>
      </c>
      <c r="B66" s="2" t="s">
        <v>40</v>
      </c>
      <c r="F66" s="4">
        <v>441</v>
      </c>
      <c r="H66" s="24">
        <v>445</v>
      </c>
      <c r="I66" s="24"/>
    </row>
    <row r="67" spans="1:9">
      <c r="A67" s="3">
        <v>37.409999999999997</v>
      </c>
      <c r="B67" s="2" t="s">
        <v>41</v>
      </c>
      <c r="F67" s="25">
        <f>F38/F66</f>
        <v>49.13378684807256</v>
      </c>
      <c r="H67" s="25">
        <f>H38/H66</f>
        <v>53.375280898876404</v>
      </c>
    </row>
    <row r="68" spans="1:9">
      <c r="B68" s="2" t="s">
        <v>42</v>
      </c>
      <c r="F68" s="26">
        <f>(F67-A67)/A67</f>
        <v>0.31338644341279243</v>
      </c>
      <c r="H68" s="27">
        <f>(H67-F67)/F67</f>
        <v>8.6325405039897329E-2</v>
      </c>
    </row>
    <row r="69" spans="1:9">
      <c r="B69" s="28" t="s">
        <v>43</v>
      </c>
      <c r="F69" s="25">
        <f>F67-A67</f>
        <v>11.723786848072564</v>
      </c>
      <c r="H69" s="25">
        <f>H67-F67</f>
        <v>4.2414940508038441</v>
      </c>
    </row>
    <row r="70" spans="1:9">
      <c r="A70" s="11"/>
      <c r="B70" s="28" t="s">
        <v>44</v>
      </c>
      <c r="F70" s="25">
        <f>F69/12</f>
        <v>0.97698223733938028</v>
      </c>
      <c r="H70" s="25">
        <f>H69/12</f>
        <v>0.35345783756698701</v>
      </c>
    </row>
    <row r="71" spans="1:9">
      <c r="A71" s="11"/>
    </row>
  </sheetData>
  <printOptions horizontalCentered="1"/>
  <pageMargins left="0.39" right="0.3" top="0.28999999999999998" bottom="0.27" header="0.18" footer="0.2"/>
  <pageSetup paperSize="9" scale="9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Normal="100" zoomScaleSheetLayoutView="100" workbookViewId="0">
      <pane xSplit="4" ySplit="3" topLeftCell="T22" activePane="bottomRight" state="frozen"/>
      <selection pane="topRight" activeCell="E1" sqref="E1"/>
      <selection pane="bottomLeft" activeCell="A5" sqref="A5"/>
      <selection pane="bottomRight" activeCell="AB40" sqref="AB40:AD41"/>
    </sheetView>
  </sheetViews>
  <sheetFormatPr defaultColWidth="9.140625" defaultRowHeight="15"/>
  <cols>
    <col min="1" max="1" width="29.42578125" customWidth="1"/>
    <col min="2" max="2" width="9.7109375" customWidth="1"/>
    <col min="3" max="3" width="1.7109375" customWidth="1"/>
    <col min="4" max="4" width="10.140625" style="39" hidden="1" customWidth="1"/>
    <col min="5" max="5" width="9.140625" style="39"/>
    <col min="6" max="6" width="13.28515625" style="39" customWidth="1"/>
    <col min="7" max="7" width="11.5703125" style="39" bestFit="1" customWidth="1"/>
    <col min="8" max="8" width="10.140625" style="39" bestFit="1" customWidth="1"/>
    <col min="9" max="9" width="11.28515625" bestFit="1" customWidth="1"/>
    <col min="10" max="10" width="11.5703125" bestFit="1" customWidth="1"/>
    <col min="11" max="11" width="10.140625" bestFit="1" customWidth="1"/>
    <col min="12" max="12" width="10.42578125" customWidth="1"/>
    <col min="13" max="13" width="11.5703125" bestFit="1" customWidth="1"/>
    <col min="14" max="14" width="10.140625" bestFit="1" customWidth="1"/>
    <col min="15" max="15" width="9.7109375" customWidth="1"/>
    <col min="16" max="16" width="11.42578125" customWidth="1"/>
    <col min="17" max="17" width="10.140625" customWidth="1"/>
    <col min="18" max="18" width="9.7109375" customWidth="1"/>
    <col min="19" max="19" width="11.42578125" customWidth="1"/>
    <col min="20" max="20" width="10.140625" customWidth="1"/>
    <col min="21" max="21" width="9.5703125" bestFit="1" customWidth="1"/>
    <col min="22" max="22" width="10.28515625" bestFit="1" customWidth="1"/>
    <col min="23" max="23" width="10.7109375" bestFit="1" customWidth="1"/>
    <col min="24" max="25" width="9.5703125" bestFit="1" customWidth="1"/>
    <col min="26" max="26" width="10.7109375" bestFit="1" customWidth="1"/>
  </cols>
  <sheetData>
    <row r="1" spans="1:26" ht="15.75">
      <c r="A1" s="32" t="s">
        <v>0</v>
      </c>
      <c r="B1" s="32"/>
    </row>
    <row r="2" spans="1:26" s="58" customFormat="1" ht="29.25" customHeight="1">
      <c r="A2" s="33" t="s">
        <v>38</v>
      </c>
      <c r="B2" s="33"/>
      <c r="D2" s="59" t="s">
        <v>46</v>
      </c>
      <c r="E2" s="59" t="s">
        <v>47</v>
      </c>
      <c r="F2" s="59" t="s">
        <v>48</v>
      </c>
      <c r="G2" s="59" t="s">
        <v>49</v>
      </c>
      <c r="H2" s="59" t="s">
        <v>50</v>
      </c>
      <c r="I2" s="59" t="s">
        <v>47</v>
      </c>
      <c r="J2" s="59" t="s">
        <v>49</v>
      </c>
      <c r="K2" s="59" t="s">
        <v>51</v>
      </c>
      <c r="L2" s="59" t="s">
        <v>47</v>
      </c>
      <c r="M2" s="60" t="s">
        <v>52</v>
      </c>
      <c r="N2" s="59" t="s">
        <v>53</v>
      </c>
      <c r="O2" s="59" t="s">
        <v>47</v>
      </c>
      <c r="P2" s="60" t="s">
        <v>52</v>
      </c>
      <c r="Q2" s="59" t="s">
        <v>54</v>
      </c>
      <c r="R2" s="59" t="s">
        <v>47</v>
      </c>
      <c r="S2" s="60" t="s">
        <v>52</v>
      </c>
      <c r="T2" s="59" t="s">
        <v>55</v>
      </c>
      <c r="U2" s="59" t="s">
        <v>47</v>
      </c>
      <c r="V2" s="60" t="s">
        <v>52</v>
      </c>
      <c r="W2" s="59" t="s">
        <v>56</v>
      </c>
      <c r="X2" s="59" t="s">
        <v>47</v>
      </c>
      <c r="Y2" s="60" t="s">
        <v>52</v>
      </c>
      <c r="Z2" s="59" t="s">
        <v>105</v>
      </c>
    </row>
    <row r="3" spans="1:26" s="58" customFormat="1">
      <c r="D3" s="59" t="s">
        <v>57</v>
      </c>
      <c r="E3" s="59" t="s">
        <v>58</v>
      </c>
      <c r="F3" s="59" t="s">
        <v>59</v>
      </c>
      <c r="G3" s="59" t="s">
        <v>60</v>
      </c>
      <c r="H3" s="59" t="s">
        <v>61</v>
      </c>
      <c r="I3" s="59" t="s">
        <v>58</v>
      </c>
      <c r="J3" s="61" t="s">
        <v>62</v>
      </c>
      <c r="K3" s="59" t="s">
        <v>61</v>
      </c>
      <c r="L3" s="59" t="s">
        <v>58</v>
      </c>
      <c r="M3" s="61" t="s">
        <v>63</v>
      </c>
      <c r="N3" s="59" t="s">
        <v>61</v>
      </c>
      <c r="O3" s="59" t="s">
        <v>58</v>
      </c>
      <c r="P3" s="61" t="s">
        <v>64</v>
      </c>
      <c r="Q3" s="59" t="s">
        <v>61</v>
      </c>
      <c r="R3" s="59" t="s">
        <v>58</v>
      </c>
      <c r="S3" s="61" t="s">
        <v>65</v>
      </c>
      <c r="T3" s="59" t="s">
        <v>61</v>
      </c>
      <c r="U3" s="59" t="s">
        <v>58</v>
      </c>
      <c r="V3" s="61" t="s">
        <v>66</v>
      </c>
      <c r="W3" s="59" t="s">
        <v>61</v>
      </c>
      <c r="X3" s="59" t="s">
        <v>58</v>
      </c>
      <c r="Y3" s="61" t="s">
        <v>106</v>
      </c>
      <c r="Z3" s="59" t="s">
        <v>61</v>
      </c>
    </row>
    <row r="4" spans="1:26" s="34" customFormat="1">
      <c r="A4" s="37" t="s">
        <v>67</v>
      </c>
      <c r="B4" s="37"/>
      <c r="D4" s="35"/>
      <c r="E4" s="35"/>
      <c r="F4" s="35"/>
      <c r="G4" s="35"/>
      <c r="H4" s="35"/>
    </row>
    <row r="5" spans="1:26">
      <c r="A5" t="s">
        <v>68</v>
      </c>
      <c r="E5" s="39">
        <v>300</v>
      </c>
      <c r="F5" s="39">
        <v>3200</v>
      </c>
      <c r="H5" s="39">
        <f>SUM(D5:F5)-G5</f>
        <v>3500</v>
      </c>
      <c r="I5" s="39">
        <v>300</v>
      </c>
      <c r="J5" s="39">
        <v>3513</v>
      </c>
      <c r="K5" s="39">
        <f>H5+I5-J5</f>
        <v>287</v>
      </c>
      <c r="L5" s="39">
        <v>300</v>
      </c>
      <c r="M5" s="39"/>
      <c r="N5" s="39">
        <f>K5+L5-M5</f>
        <v>587</v>
      </c>
      <c r="O5" s="39">
        <v>300</v>
      </c>
      <c r="P5">
        <v>168</v>
      </c>
      <c r="Q5" s="39">
        <f>N5+O5-P5</f>
        <v>719</v>
      </c>
      <c r="R5" s="39">
        <v>300</v>
      </c>
      <c r="T5" s="39">
        <f>Q5+R5-S5</f>
        <v>1019</v>
      </c>
      <c r="U5" s="39">
        <v>300</v>
      </c>
      <c r="W5" s="39">
        <f t="shared" ref="W5:W20" si="0">T5+U5-V5</f>
        <v>1319</v>
      </c>
      <c r="X5" s="39">
        <v>300</v>
      </c>
      <c r="Y5">
        <v>850</v>
      </c>
      <c r="Z5" s="39">
        <f t="shared" ref="Z5:Z8" si="1">W5+X5-Y5</f>
        <v>769</v>
      </c>
    </row>
    <row r="6" spans="1:26">
      <c r="A6" t="s">
        <v>69</v>
      </c>
      <c r="E6" s="39">
        <v>50</v>
      </c>
      <c r="F6" s="39">
        <v>100</v>
      </c>
      <c r="H6" s="39">
        <f t="shared" ref="H6:H8" si="2">SUM(D6:F6)-G6</f>
        <v>150</v>
      </c>
      <c r="I6" s="39">
        <v>150</v>
      </c>
      <c r="K6" s="39">
        <f t="shared" ref="K6:K15" si="3">H6+I6-J6</f>
        <v>300</v>
      </c>
      <c r="L6" s="39">
        <v>150</v>
      </c>
      <c r="N6" s="39">
        <f t="shared" ref="N6" si="4">K6+L6-M6</f>
        <v>450</v>
      </c>
      <c r="O6" s="39">
        <v>150</v>
      </c>
      <c r="Q6" s="39">
        <f t="shared" ref="Q6:Q8" si="5">N6+O6-P6</f>
        <v>600</v>
      </c>
      <c r="R6" s="39"/>
      <c r="T6" s="39">
        <f t="shared" ref="T6:T8" si="6">Q6+R6-S6</f>
        <v>600</v>
      </c>
      <c r="U6" s="39"/>
      <c r="V6">
        <v>138</v>
      </c>
      <c r="W6" s="39">
        <f t="shared" si="0"/>
        <v>462</v>
      </c>
      <c r="X6" s="39"/>
      <c r="Z6" s="39">
        <f t="shared" si="1"/>
        <v>462</v>
      </c>
    </row>
    <row r="7" spans="1:26">
      <c r="A7" t="s">
        <v>70</v>
      </c>
      <c r="E7" s="39">
        <v>500</v>
      </c>
      <c r="F7" s="39">
        <v>14000</v>
      </c>
      <c r="H7" s="39">
        <f t="shared" si="2"/>
        <v>14500</v>
      </c>
      <c r="I7" s="39">
        <v>11534</v>
      </c>
      <c r="J7" s="39">
        <f>636+170+454</f>
        <v>1260</v>
      </c>
      <c r="K7" s="39">
        <f>H7+I7-J7</f>
        <v>24774</v>
      </c>
      <c r="L7" s="39">
        <v>500</v>
      </c>
      <c r="M7" s="39">
        <v>5000</v>
      </c>
      <c r="N7" s="39">
        <f>K7+L7-M7</f>
        <v>20274</v>
      </c>
      <c r="O7" s="39">
        <v>500</v>
      </c>
      <c r="P7" s="38">
        <v>5000</v>
      </c>
      <c r="Q7" s="39">
        <f t="shared" si="5"/>
        <v>15774</v>
      </c>
      <c r="R7" s="39">
        <v>300</v>
      </c>
      <c r="S7" s="38">
        <v>5000</v>
      </c>
      <c r="T7" s="39">
        <f t="shared" si="6"/>
        <v>11074</v>
      </c>
      <c r="U7" s="39">
        <v>300</v>
      </c>
      <c r="V7" s="38"/>
      <c r="W7" s="39">
        <f t="shared" si="0"/>
        <v>11374</v>
      </c>
      <c r="X7" s="39">
        <v>300</v>
      </c>
      <c r="Z7" s="39">
        <f t="shared" si="1"/>
        <v>11674</v>
      </c>
    </row>
    <row r="8" spans="1:26">
      <c r="A8" t="s">
        <v>71</v>
      </c>
      <c r="E8" s="39">
        <v>50</v>
      </c>
      <c r="F8" s="39">
        <v>350</v>
      </c>
      <c r="H8" s="39">
        <f t="shared" si="2"/>
        <v>400</v>
      </c>
      <c r="I8" s="39">
        <v>100</v>
      </c>
      <c r="K8" s="39">
        <f t="shared" si="3"/>
        <v>500</v>
      </c>
      <c r="L8" s="39">
        <v>100</v>
      </c>
      <c r="N8" s="39">
        <f t="shared" ref="N8" si="7">K8+L8-M8</f>
        <v>600</v>
      </c>
      <c r="O8" s="39">
        <v>100</v>
      </c>
      <c r="Q8" s="39">
        <f t="shared" si="5"/>
        <v>700</v>
      </c>
      <c r="R8" s="39">
        <v>50</v>
      </c>
      <c r="T8" s="39">
        <f t="shared" si="6"/>
        <v>750</v>
      </c>
      <c r="U8" s="39">
        <v>50</v>
      </c>
      <c r="W8" s="39">
        <f t="shared" si="0"/>
        <v>800</v>
      </c>
      <c r="X8" s="39">
        <v>50</v>
      </c>
      <c r="Z8" s="39">
        <f t="shared" si="1"/>
        <v>850</v>
      </c>
    </row>
    <row r="9" spans="1:26">
      <c r="I9" s="39"/>
      <c r="K9" s="39"/>
      <c r="L9" s="39"/>
      <c r="N9" s="39"/>
      <c r="W9" s="39"/>
      <c r="Z9" s="39"/>
    </row>
    <row r="10" spans="1:26" ht="30">
      <c r="A10" s="37" t="s">
        <v>72</v>
      </c>
      <c r="B10" s="40" t="s">
        <v>73</v>
      </c>
      <c r="I10" s="39"/>
      <c r="K10" s="39"/>
      <c r="L10" s="39"/>
      <c r="N10" s="39"/>
      <c r="W10" s="39"/>
      <c r="Z10" s="39"/>
    </row>
    <row r="11" spans="1:26">
      <c r="A11" t="s">
        <v>74</v>
      </c>
      <c r="B11" s="39">
        <v>16868</v>
      </c>
      <c r="E11" s="39">
        <v>500</v>
      </c>
      <c r="H11" s="39">
        <f t="shared" ref="H11:H14" si="8">SUM(D11:F11)-G11</f>
        <v>500</v>
      </c>
      <c r="I11" s="39">
        <v>500</v>
      </c>
      <c r="K11" s="39">
        <f t="shared" si="3"/>
        <v>1000</v>
      </c>
      <c r="L11" s="39">
        <v>500</v>
      </c>
      <c r="N11" s="39">
        <f t="shared" ref="N11:N15" si="9">K11+L11-M11</f>
        <v>1500</v>
      </c>
      <c r="O11" s="39">
        <v>500</v>
      </c>
      <c r="Q11" s="39">
        <f t="shared" ref="Q11:Q15" si="10">N11+O11-P11</f>
        <v>2000</v>
      </c>
      <c r="R11" s="39">
        <v>100</v>
      </c>
      <c r="T11" s="39">
        <f t="shared" ref="T11:T15" si="11">Q11+R11-S11</f>
        <v>2100</v>
      </c>
      <c r="U11" s="39">
        <v>100</v>
      </c>
      <c r="V11">
        <v>1893</v>
      </c>
      <c r="W11" s="39">
        <f t="shared" si="0"/>
        <v>307</v>
      </c>
      <c r="X11" s="39">
        <v>100</v>
      </c>
      <c r="Z11" s="39">
        <f t="shared" ref="Z11:Z15" si="12">W11+X11-Y11</f>
        <v>407</v>
      </c>
    </row>
    <row r="12" spans="1:26">
      <c r="A12" t="s">
        <v>75</v>
      </c>
      <c r="B12" s="39">
        <v>4078</v>
      </c>
      <c r="E12" s="39">
        <v>100</v>
      </c>
      <c r="H12" s="39">
        <f t="shared" si="8"/>
        <v>100</v>
      </c>
      <c r="I12" s="39">
        <v>200</v>
      </c>
      <c r="K12" s="39">
        <f t="shared" si="3"/>
        <v>300</v>
      </c>
      <c r="L12" s="39">
        <v>200</v>
      </c>
      <c r="N12" s="39">
        <f t="shared" si="9"/>
        <v>500</v>
      </c>
      <c r="O12" s="39">
        <v>200</v>
      </c>
      <c r="Q12" s="39">
        <f t="shared" si="10"/>
        <v>700</v>
      </c>
      <c r="R12" s="39">
        <v>100</v>
      </c>
      <c r="T12" s="39">
        <f t="shared" si="11"/>
        <v>800</v>
      </c>
      <c r="U12" s="39">
        <v>100</v>
      </c>
      <c r="V12">
        <v>829</v>
      </c>
      <c r="W12" s="39">
        <f t="shared" si="0"/>
        <v>71</v>
      </c>
      <c r="X12" s="39">
        <v>100</v>
      </c>
      <c r="Z12" s="39">
        <f t="shared" si="12"/>
        <v>171</v>
      </c>
    </row>
    <row r="13" spans="1:26">
      <c r="A13" t="s">
        <v>76</v>
      </c>
      <c r="B13" s="39">
        <v>3195</v>
      </c>
      <c r="E13" s="39">
        <v>100</v>
      </c>
      <c r="H13" s="39">
        <f t="shared" si="8"/>
        <v>100</v>
      </c>
      <c r="I13" s="39">
        <v>200</v>
      </c>
      <c r="K13" s="39">
        <f t="shared" si="3"/>
        <v>300</v>
      </c>
      <c r="L13" s="39">
        <v>200</v>
      </c>
      <c r="N13" s="39">
        <f t="shared" si="9"/>
        <v>500</v>
      </c>
      <c r="O13" s="39">
        <v>200</v>
      </c>
      <c r="Q13" s="39">
        <f t="shared" si="10"/>
        <v>700</v>
      </c>
      <c r="R13" s="39">
        <v>200</v>
      </c>
      <c r="T13" s="39">
        <f t="shared" si="11"/>
        <v>900</v>
      </c>
      <c r="U13" s="39">
        <v>200</v>
      </c>
      <c r="W13" s="39">
        <f t="shared" si="0"/>
        <v>1100</v>
      </c>
      <c r="X13" s="39">
        <v>200</v>
      </c>
      <c r="Z13" s="39">
        <f t="shared" si="12"/>
        <v>1300</v>
      </c>
    </row>
    <row r="14" spans="1:26">
      <c r="A14" t="s">
        <v>77</v>
      </c>
      <c r="B14" s="39">
        <v>3665</v>
      </c>
      <c r="E14" s="39">
        <v>250</v>
      </c>
      <c r="F14" s="39">
        <v>50</v>
      </c>
      <c r="G14" s="39">
        <v>50</v>
      </c>
      <c r="H14" s="39">
        <f t="shared" si="8"/>
        <v>250</v>
      </c>
      <c r="I14" s="39">
        <v>250</v>
      </c>
      <c r="K14" s="39">
        <f t="shared" si="3"/>
        <v>500</v>
      </c>
      <c r="L14" s="39">
        <v>250</v>
      </c>
      <c r="N14" s="39">
        <f t="shared" si="9"/>
        <v>750</v>
      </c>
      <c r="O14" s="39">
        <v>250</v>
      </c>
      <c r="Q14" s="39">
        <f t="shared" si="10"/>
        <v>1000</v>
      </c>
      <c r="R14" s="39">
        <v>200</v>
      </c>
      <c r="T14" s="39">
        <f t="shared" si="11"/>
        <v>1200</v>
      </c>
      <c r="U14" s="39">
        <v>200</v>
      </c>
      <c r="W14" s="39">
        <f t="shared" si="0"/>
        <v>1400</v>
      </c>
      <c r="X14" s="39">
        <v>200</v>
      </c>
      <c r="Z14" s="39">
        <f t="shared" si="12"/>
        <v>1600</v>
      </c>
    </row>
    <row r="15" spans="1:26">
      <c r="A15" t="s">
        <v>78</v>
      </c>
      <c r="B15" s="39">
        <v>1800</v>
      </c>
      <c r="E15" s="39">
        <v>100</v>
      </c>
      <c r="H15" s="39">
        <f>SUM(D15:F15)-G15</f>
        <v>100</v>
      </c>
      <c r="I15" s="39">
        <v>100</v>
      </c>
      <c r="K15" s="39">
        <f t="shared" si="3"/>
        <v>200</v>
      </c>
      <c r="L15" s="39">
        <v>100</v>
      </c>
      <c r="N15" s="39">
        <f t="shared" si="9"/>
        <v>300</v>
      </c>
      <c r="O15" s="39">
        <v>100</v>
      </c>
      <c r="Q15" s="39">
        <f t="shared" si="10"/>
        <v>400</v>
      </c>
      <c r="R15" s="39">
        <v>100</v>
      </c>
      <c r="T15" s="39">
        <f t="shared" si="11"/>
        <v>500</v>
      </c>
      <c r="U15" s="39">
        <v>100</v>
      </c>
      <c r="W15" s="39">
        <f t="shared" si="0"/>
        <v>600</v>
      </c>
      <c r="X15" s="39">
        <v>100</v>
      </c>
      <c r="Z15" s="39">
        <f t="shared" si="12"/>
        <v>700</v>
      </c>
    </row>
    <row r="16" spans="1:26">
      <c r="A16" t="s">
        <v>79</v>
      </c>
      <c r="B16" s="39">
        <v>83607</v>
      </c>
      <c r="I16" s="39"/>
      <c r="K16" s="39"/>
      <c r="L16" s="39"/>
      <c r="N16" s="39"/>
      <c r="O16" s="39"/>
      <c r="Q16" s="39"/>
      <c r="R16" s="39"/>
      <c r="T16" s="39"/>
      <c r="U16" s="39"/>
      <c r="W16" s="39"/>
      <c r="X16" s="39"/>
      <c r="Z16" s="39"/>
    </row>
    <row r="17" spans="1:26">
      <c r="A17" t="s">
        <v>80</v>
      </c>
      <c r="B17" s="39">
        <v>36000</v>
      </c>
      <c r="I17" s="39"/>
      <c r="K17" s="39"/>
      <c r="L17" s="39"/>
      <c r="N17" s="39"/>
      <c r="O17" s="39"/>
      <c r="Q17" s="39"/>
      <c r="R17" s="39"/>
      <c r="T17" s="39"/>
      <c r="U17" s="39"/>
      <c r="W17" s="39"/>
      <c r="X17" s="39"/>
      <c r="Z17" s="39"/>
    </row>
    <row r="18" spans="1:26">
      <c r="A18" t="s">
        <v>81</v>
      </c>
      <c r="B18" s="39">
        <v>90000</v>
      </c>
      <c r="I18" s="39"/>
      <c r="K18" s="39"/>
      <c r="L18" s="39"/>
      <c r="N18" s="39"/>
      <c r="O18" s="39"/>
      <c r="Q18" s="39"/>
      <c r="R18" s="39"/>
      <c r="T18" s="39"/>
      <c r="U18" s="39"/>
      <c r="W18" s="39"/>
      <c r="X18" s="39"/>
      <c r="Z18" s="39"/>
    </row>
    <row r="19" spans="1:26">
      <c r="A19" t="s">
        <v>82</v>
      </c>
      <c r="B19" s="39">
        <v>3478</v>
      </c>
      <c r="I19" s="39"/>
      <c r="K19" s="39"/>
      <c r="L19" s="39"/>
      <c r="N19" s="39"/>
      <c r="O19" s="39"/>
      <c r="Q19" s="39"/>
      <c r="R19" s="39">
        <v>100</v>
      </c>
      <c r="T19" s="39">
        <f t="shared" ref="T19:T20" si="13">Q19+R19-S19</f>
        <v>100</v>
      </c>
      <c r="U19" s="39">
        <v>100</v>
      </c>
      <c r="W19" s="39">
        <f t="shared" si="0"/>
        <v>200</v>
      </c>
      <c r="X19" s="39">
        <v>100</v>
      </c>
      <c r="Z19" s="39">
        <f t="shared" ref="Z19:Z20" si="14">W19+X19-Y19</f>
        <v>300</v>
      </c>
    </row>
    <row r="20" spans="1:26">
      <c r="A20" t="s">
        <v>83</v>
      </c>
      <c r="B20" s="39">
        <v>1541</v>
      </c>
      <c r="I20" s="39"/>
      <c r="K20" s="39"/>
      <c r="L20" s="39"/>
      <c r="N20" s="39"/>
      <c r="O20" s="39"/>
      <c r="Q20" s="39"/>
      <c r="R20" s="39">
        <v>100</v>
      </c>
      <c r="T20" s="39">
        <f t="shared" si="13"/>
        <v>100</v>
      </c>
      <c r="U20" s="39">
        <v>100</v>
      </c>
      <c r="W20" s="39">
        <f t="shared" si="0"/>
        <v>200</v>
      </c>
      <c r="X20" s="39">
        <v>100</v>
      </c>
      <c r="Z20" s="39">
        <f t="shared" si="14"/>
        <v>300</v>
      </c>
    </row>
    <row r="21" spans="1:26">
      <c r="A21" t="s">
        <v>117</v>
      </c>
      <c r="B21" s="39">
        <v>360</v>
      </c>
      <c r="I21" s="39"/>
      <c r="K21" s="39"/>
      <c r="L21" s="39"/>
      <c r="N21" s="39"/>
      <c r="O21" s="39"/>
      <c r="Q21" s="39"/>
      <c r="R21" s="39"/>
      <c r="T21" s="39"/>
      <c r="U21" s="39"/>
      <c r="W21" s="39"/>
      <c r="X21" s="39"/>
      <c r="Z21" s="39"/>
    </row>
    <row r="23" spans="1:26" ht="15.75" thickBot="1">
      <c r="B23" s="39">
        <f>SUM(B11:B22)</f>
        <v>244592</v>
      </c>
      <c r="D23" s="41">
        <f>SUM(D5:D22)</f>
        <v>0</v>
      </c>
      <c r="E23" s="41">
        <f>SUM(E5:E22)</f>
        <v>1950</v>
      </c>
      <c r="F23" s="41">
        <f>SUM(F5:F22)</f>
        <v>17700</v>
      </c>
      <c r="G23" s="41">
        <f>SUM(G5:G22)</f>
        <v>50</v>
      </c>
      <c r="H23" s="41">
        <f>SUM(H5:H22)</f>
        <v>19600</v>
      </c>
      <c r="I23" s="41">
        <f t="shared" ref="I23:P23" si="15">SUM(I5:I22)</f>
        <v>13334</v>
      </c>
      <c r="J23" s="41">
        <f t="shared" si="15"/>
        <v>4773</v>
      </c>
      <c r="K23" s="41">
        <f t="shared" si="15"/>
        <v>28161</v>
      </c>
      <c r="L23" s="41">
        <f t="shared" si="15"/>
        <v>2300</v>
      </c>
      <c r="M23" s="41">
        <f t="shared" si="15"/>
        <v>5000</v>
      </c>
      <c r="N23" s="41">
        <f t="shared" si="15"/>
        <v>25461</v>
      </c>
      <c r="O23" s="41">
        <f t="shared" si="15"/>
        <v>2300</v>
      </c>
      <c r="P23" s="41">
        <f t="shared" si="15"/>
        <v>5168</v>
      </c>
      <c r="Q23" s="41">
        <f>SUM(Q5:Q22)</f>
        <v>22593</v>
      </c>
      <c r="R23" s="41">
        <f t="shared" ref="R23:S23" si="16">SUM(R5:R22)</f>
        <v>1550</v>
      </c>
      <c r="S23" s="41">
        <f t="shared" si="16"/>
        <v>5000</v>
      </c>
      <c r="T23" s="41">
        <f>SUM(T5:T22)</f>
        <v>19143</v>
      </c>
      <c r="U23" s="41">
        <f>SUM(U5:U22)</f>
        <v>1550</v>
      </c>
      <c r="V23" s="41">
        <f t="shared" ref="V23:Z23" si="17">SUM(V5:V22)</f>
        <v>2860</v>
      </c>
      <c r="W23" s="41">
        <f t="shared" si="17"/>
        <v>17833</v>
      </c>
      <c r="X23" s="41">
        <f t="shared" si="17"/>
        <v>1550</v>
      </c>
      <c r="Y23" s="41">
        <f t="shared" si="17"/>
        <v>850</v>
      </c>
      <c r="Z23" s="41">
        <f t="shared" si="17"/>
        <v>18533</v>
      </c>
    </row>
    <row r="24" spans="1:26" ht="15.75" thickTop="1"/>
    <row r="25" spans="1:26">
      <c r="F25" s="35" t="s">
        <v>84</v>
      </c>
      <c r="G25" s="35" t="s">
        <v>49</v>
      </c>
      <c r="H25" s="35" t="s">
        <v>50</v>
      </c>
      <c r="I25" s="35" t="s">
        <v>84</v>
      </c>
      <c r="J25" s="35" t="s">
        <v>49</v>
      </c>
      <c r="K25" s="35" t="s">
        <v>51</v>
      </c>
      <c r="L25" s="35" t="s">
        <v>84</v>
      </c>
      <c r="M25" s="35" t="s">
        <v>49</v>
      </c>
      <c r="N25" s="35" t="s">
        <v>53</v>
      </c>
      <c r="O25" s="35" t="s">
        <v>84</v>
      </c>
      <c r="P25" s="35" t="s">
        <v>49</v>
      </c>
      <c r="Q25" s="35" t="s">
        <v>54</v>
      </c>
      <c r="R25" s="35" t="s">
        <v>84</v>
      </c>
      <c r="S25" s="35" t="s">
        <v>49</v>
      </c>
      <c r="T25" s="35" t="str">
        <f>T2</f>
        <v>31.03.2021</v>
      </c>
      <c r="U25" s="35" t="s">
        <v>84</v>
      </c>
      <c r="V25" s="35" t="s">
        <v>49</v>
      </c>
      <c r="W25" s="35" t="s">
        <v>56</v>
      </c>
      <c r="X25" s="35" t="s">
        <v>84</v>
      </c>
      <c r="Y25" s="35" t="s">
        <v>49</v>
      </c>
      <c r="Z25" s="35" t="s">
        <v>105</v>
      </c>
    </row>
    <row r="26" spans="1:26">
      <c r="F26" s="36" t="s">
        <v>60</v>
      </c>
      <c r="G26" s="36" t="s">
        <v>60</v>
      </c>
      <c r="H26" s="35" t="s">
        <v>61</v>
      </c>
      <c r="I26" s="36" t="s">
        <v>62</v>
      </c>
      <c r="J26" s="36" t="s">
        <v>62</v>
      </c>
      <c r="K26" s="35" t="s">
        <v>61</v>
      </c>
      <c r="L26" s="36" t="s">
        <v>63</v>
      </c>
      <c r="M26" s="36" t="s">
        <v>63</v>
      </c>
      <c r="N26" s="35" t="s">
        <v>61</v>
      </c>
      <c r="O26" s="36" t="s">
        <v>64</v>
      </c>
      <c r="P26" s="36" t="s">
        <v>64</v>
      </c>
      <c r="Q26" s="35" t="s">
        <v>61</v>
      </c>
      <c r="R26" s="36" t="s">
        <v>65</v>
      </c>
      <c r="S26" s="36" t="s">
        <v>65</v>
      </c>
      <c r="T26" s="35" t="s">
        <v>61</v>
      </c>
      <c r="U26" s="36" t="s">
        <v>66</v>
      </c>
      <c r="V26" s="36" t="s">
        <v>66</v>
      </c>
      <c r="W26" s="35" t="s">
        <v>61</v>
      </c>
      <c r="X26" s="36" t="s">
        <v>106</v>
      </c>
      <c r="Y26" s="36" t="s">
        <v>106</v>
      </c>
      <c r="Z26" s="35" t="s">
        <v>61</v>
      </c>
    </row>
    <row r="27" spans="1:26">
      <c r="F27" s="35"/>
    </row>
    <row r="28" spans="1:26">
      <c r="A28" t="s">
        <v>85</v>
      </c>
      <c r="F28" s="39">
        <v>875</v>
      </c>
      <c r="H28" s="39">
        <v>875</v>
      </c>
      <c r="I28">
        <f>179.15+49</f>
        <v>228.15</v>
      </c>
      <c r="K28" s="55">
        <f t="shared" ref="K28:K30" si="18">H28+I28-J28</f>
        <v>1103.1500000000001</v>
      </c>
      <c r="N28" s="55">
        <f t="shared" ref="N28:N30" si="19">K28+L28-M28</f>
        <v>1103.1500000000001</v>
      </c>
      <c r="Q28" s="55">
        <f t="shared" ref="Q28:Q30" si="20">N28+O28-P28</f>
        <v>1103.1500000000001</v>
      </c>
      <c r="T28" s="55">
        <f t="shared" ref="T28:T31" si="21">Q28+R28-S28</f>
        <v>1103.1500000000001</v>
      </c>
      <c r="W28" s="55">
        <f t="shared" ref="W28" si="22">T28+U28-V28</f>
        <v>1103.1500000000001</v>
      </c>
      <c r="Y28">
        <f>600+479.16</f>
        <v>1079.1600000000001</v>
      </c>
      <c r="Z28" s="55">
        <f t="shared" ref="Z28" si="23">W28+X28-Y28</f>
        <v>23.990000000000009</v>
      </c>
    </row>
    <row r="29" spans="1:26">
      <c r="A29" t="s">
        <v>86</v>
      </c>
      <c r="I29" s="39">
        <v>1500</v>
      </c>
      <c r="K29" s="39">
        <f t="shared" si="18"/>
        <v>1500</v>
      </c>
      <c r="N29" s="39">
        <f t="shared" si="19"/>
        <v>1500</v>
      </c>
      <c r="Q29" s="39">
        <f t="shared" si="20"/>
        <v>1500</v>
      </c>
      <c r="R29" s="39"/>
      <c r="S29" s="39">
        <v>1500</v>
      </c>
      <c r="T29" s="39">
        <f t="shared" si="21"/>
        <v>0</v>
      </c>
      <c r="U29" s="39"/>
      <c r="V29" s="39"/>
      <c r="W29" s="39">
        <v>0</v>
      </c>
      <c r="X29" s="39"/>
      <c r="Y29" s="39"/>
      <c r="Z29" s="39">
        <v>0</v>
      </c>
    </row>
    <row r="30" spans="1:26">
      <c r="A30" t="s">
        <v>87</v>
      </c>
      <c r="I30" s="39">
        <v>2000</v>
      </c>
      <c r="K30" s="39">
        <f t="shared" si="18"/>
        <v>2000</v>
      </c>
      <c r="N30" s="39">
        <f t="shared" si="19"/>
        <v>2000</v>
      </c>
      <c r="Q30" s="39">
        <f t="shared" si="20"/>
        <v>2000</v>
      </c>
      <c r="R30" s="39"/>
      <c r="S30" s="39">
        <v>2000</v>
      </c>
      <c r="T30" s="39">
        <f t="shared" si="21"/>
        <v>0</v>
      </c>
      <c r="U30" s="39"/>
      <c r="V30" s="39"/>
      <c r="W30" s="39">
        <v>0</v>
      </c>
      <c r="X30" s="39"/>
      <c r="Y30" s="39"/>
      <c r="Z30" s="39">
        <v>0</v>
      </c>
    </row>
    <row r="31" spans="1:26">
      <c r="A31" t="s">
        <v>88</v>
      </c>
      <c r="I31" s="39"/>
      <c r="K31" s="39"/>
      <c r="N31" s="39"/>
      <c r="Q31" s="39"/>
      <c r="R31" s="39">
        <v>5000</v>
      </c>
      <c r="S31" s="39">
        <v>5000</v>
      </c>
      <c r="T31" s="39">
        <f t="shared" si="21"/>
        <v>0</v>
      </c>
      <c r="U31" s="39"/>
      <c r="V31" s="39"/>
      <c r="W31" s="39">
        <v>0</v>
      </c>
      <c r="X31" s="39"/>
      <c r="Y31" s="39"/>
      <c r="Z31" s="39">
        <v>0</v>
      </c>
    </row>
    <row r="32" spans="1:26" ht="15.75" thickBot="1">
      <c r="F32" s="41">
        <f t="shared" ref="F32:J32" si="24">SUM(F28:F31)</f>
        <v>875</v>
      </c>
      <c r="G32" s="41">
        <f t="shared" si="24"/>
        <v>0</v>
      </c>
      <c r="H32" s="41">
        <f t="shared" si="24"/>
        <v>875</v>
      </c>
      <c r="I32" s="41">
        <f t="shared" si="24"/>
        <v>3728.15</v>
      </c>
      <c r="J32" s="41">
        <f t="shared" si="24"/>
        <v>0</v>
      </c>
      <c r="K32" s="41">
        <f>SUM(K28:K31)</f>
        <v>4603.1499999999996</v>
      </c>
      <c r="L32" s="41">
        <f t="shared" ref="L32:M32" si="25">SUM(L28:L31)</f>
        <v>0</v>
      </c>
      <c r="M32" s="41">
        <f t="shared" si="25"/>
        <v>0</v>
      </c>
      <c r="N32" s="41">
        <f>SUM(N28:N31)</f>
        <v>4603.1499999999996</v>
      </c>
      <c r="O32" s="41">
        <f t="shared" ref="O32:P32" si="26">SUM(O28:O31)</f>
        <v>0</v>
      </c>
      <c r="P32" s="41">
        <f t="shared" si="26"/>
        <v>0</v>
      </c>
      <c r="Q32" s="41">
        <f>SUM(Q28:Q31)</f>
        <v>4603.1499999999996</v>
      </c>
      <c r="R32" s="41">
        <f t="shared" ref="R32:Z32" si="27">SUM(R28:R31)</f>
        <v>5000</v>
      </c>
      <c r="S32" s="41">
        <f t="shared" si="27"/>
        <v>8500</v>
      </c>
      <c r="T32" s="41">
        <f t="shared" si="27"/>
        <v>1103.1500000000001</v>
      </c>
      <c r="U32" s="41">
        <f t="shared" si="27"/>
        <v>0</v>
      </c>
      <c r="V32" s="41">
        <f t="shared" si="27"/>
        <v>0</v>
      </c>
      <c r="W32" s="41">
        <f t="shared" si="27"/>
        <v>1103.1500000000001</v>
      </c>
      <c r="X32" s="41">
        <f t="shared" si="27"/>
        <v>0</v>
      </c>
      <c r="Y32" s="41">
        <f t="shared" si="27"/>
        <v>1079.1600000000001</v>
      </c>
      <c r="Z32" s="56">
        <f t="shared" si="27"/>
        <v>23.990000000000009</v>
      </c>
    </row>
    <row r="33" spans="1:26" ht="15.75" thickTop="1">
      <c r="K33" s="39"/>
      <c r="N33" s="39"/>
      <c r="Q33" s="39"/>
      <c r="T33" s="39"/>
      <c r="W33" s="39"/>
      <c r="Z33" s="39"/>
    </row>
    <row r="34" spans="1:26" ht="15.75" thickBot="1">
      <c r="A34" t="s">
        <v>89</v>
      </c>
      <c r="H34" s="42">
        <f>H32+H23</f>
        <v>20475</v>
      </c>
      <c r="K34" s="42">
        <f>K32+K23</f>
        <v>32764.15</v>
      </c>
      <c r="N34" s="42">
        <f>N32+N23</f>
        <v>30064.15</v>
      </c>
      <c r="Q34" s="43">
        <f>Q32+Q23</f>
        <v>27196.15</v>
      </c>
      <c r="T34" s="43">
        <f>T32+T23</f>
        <v>20246.150000000001</v>
      </c>
      <c r="W34" s="43">
        <f>W32+W23</f>
        <v>18936.150000000001</v>
      </c>
      <c r="Z34" s="43">
        <f>Z32+Z23</f>
        <v>18556.990000000002</v>
      </c>
    </row>
    <row r="36" spans="1:26">
      <c r="U36" s="34"/>
      <c r="V36" s="34"/>
      <c r="W36" s="35" t="s">
        <v>56</v>
      </c>
      <c r="X36" s="34"/>
      <c r="Y36" s="34"/>
      <c r="Z36" s="35" t="s">
        <v>56</v>
      </c>
    </row>
    <row r="37" spans="1:26">
      <c r="U37" s="34"/>
      <c r="V37" s="34"/>
      <c r="W37" s="35"/>
      <c r="X37" s="34"/>
      <c r="Y37" s="34"/>
      <c r="Z37" s="35"/>
    </row>
    <row r="38" spans="1:26" s="62" customFormat="1">
      <c r="D38" s="63"/>
      <c r="E38" s="63"/>
      <c r="F38" s="64" t="s">
        <v>84</v>
      </c>
      <c r="G38" s="64" t="s">
        <v>90</v>
      </c>
      <c r="H38" s="64" t="s">
        <v>91</v>
      </c>
      <c r="I38" s="64" t="s">
        <v>84</v>
      </c>
      <c r="J38" s="64" t="s">
        <v>90</v>
      </c>
      <c r="K38" s="64" t="s">
        <v>91</v>
      </c>
      <c r="L38" s="64" t="s">
        <v>84</v>
      </c>
      <c r="M38" s="64" t="s">
        <v>90</v>
      </c>
      <c r="N38" s="64" t="s">
        <v>91</v>
      </c>
      <c r="O38" s="64" t="s">
        <v>84</v>
      </c>
      <c r="P38" s="64" t="s">
        <v>90</v>
      </c>
      <c r="Q38" s="64" t="s">
        <v>91</v>
      </c>
      <c r="R38" s="64" t="s">
        <v>84</v>
      </c>
      <c r="S38" s="64" t="s">
        <v>90</v>
      </c>
      <c r="T38" s="64" t="s">
        <v>91</v>
      </c>
      <c r="U38" s="64" t="s">
        <v>84</v>
      </c>
      <c r="V38" s="64" t="s">
        <v>90</v>
      </c>
      <c r="W38" s="64" t="s">
        <v>92</v>
      </c>
      <c r="X38" s="64" t="s">
        <v>84</v>
      </c>
      <c r="Y38" s="64" t="s">
        <v>90</v>
      </c>
      <c r="Z38" s="64" t="s">
        <v>92</v>
      </c>
    </row>
    <row r="39" spans="1:26" s="55" customFormat="1">
      <c r="A39"/>
      <c r="B39"/>
      <c r="C39"/>
      <c r="D39" s="39"/>
      <c r="E39" s="39"/>
      <c r="F39" s="44"/>
      <c r="G39" s="44"/>
      <c r="H39" s="44"/>
      <c r="I39" s="44"/>
      <c r="J39" s="44"/>
      <c r="K39" s="44"/>
      <c r="L39" s="44"/>
      <c r="M39" s="44"/>
      <c r="N39" s="44"/>
      <c r="O39"/>
      <c r="P39"/>
      <c r="Q39"/>
      <c r="R39"/>
      <c r="S39"/>
      <c r="T39"/>
      <c r="U39"/>
      <c r="V39"/>
      <c r="W39"/>
      <c r="X39"/>
      <c r="Y39"/>
      <c r="Z39"/>
    </row>
    <row r="40" spans="1:26">
      <c r="A40" s="55" t="s">
        <v>31</v>
      </c>
      <c r="B40" s="55"/>
      <c r="C40" s="55"/>
      <c r="D40" s="55"/>
      <c r="E40" s="55"/>
      <c r="F40" s="55">
        <v>390</v>
      </c>
      <c r="G40" s="55"/>
      <c r="H40" s="55">
        <f>F40-G40</f>
        <v>390</v>
      </c>
      <c r="I40" s="55">
        <f>3210.41+3065.05</f>
        <v>6275.46</v>
      </c>
      <c r="J40" s="55"/>
      <c r="K40" s="55">
        <f>H40+I40-J40</f>
        <v>6665.46</v>
      </c>
      <c r="L40" s="55">
        <f>11182.16+5961</f>
        <v>17143.16</v>
      </c>
      <c r="M40" s="55"/>
      <c r="N40" s="55">
        <f>K40+L40-M40</f>
        <v>23808.62</v>
      </c>
      <c r="O40" s="55"/>
      <c r="P40" s="65">
        <v>364.07</v>
      </c>
      <c r="Q40" s="55">
        <f t="shared" ref="Q40:Q41" si="28">N40+O40-P40</f>
        <v>23444.55</v>
      </c>
      <c r="R40" s="55"/>
      <c r="S40" s="65">
        <v>15362.05</v>
      </c>
      <c r="T40" s="55">
        <f t="shared" ref="T40:T41" si="29">Q40+R40-S40</f>
        <v>8082.5</v>
      </c>
      <c r="U40" s="55"/>
      <c r="V40" s="65">
        <f>(4849.51+3233-0.01)</f>
        <v>8082.5</v>
      </c>
      <c r="W40" s="55">
        <f t="shared" ref="W40:W41" si="30">T40+U40-V40</f>
        <v>0</v>
      </c>
      <c r="X40" s="55"/>
      <c r="Y40" s="65"/>
      <c r="Z40" s="55">
        <f t="shared" ref="Z40" si="31">W40+X40-Y40</f>
        <v>0</v>
      </c>
    </row>
    <row r="41" spans="1:26">
      <c r="A41" t="s">
        <v>118</v>
      </c>
      <c r="O41" s="55">
        <v>5164</v>
      </c>
      <c r="P41" s="65">
        <v>5164</v>
      </c>
      <c r="Q41" s="55">
        <f t="shared" si="28"/>
        <v>0</v>
      </c>
      <c r="S41" s="65"/>
      <c r="T41" s="55">
        <f t="shared" si="29"/>
        <v>0</v>
      </c>
      <c r="U41" s="57">
        <v>5700</v>
      </c>
      <c r="V41" s="65">
        <f>(1100+2300+2300)</f>
        <v>5700</v>
      </c>
      <c r="W41" s="55">
        <f t="shared" si="30"/>
        <v>0</v>
      </c>
      <c r="X41" s="57">
        <v>7500</v>
      </c>
      <c r="Y41" s="65">
        <f>1450+300</f>
        <v>1750</v>
      </c>
      <c r="Z41" s="55">
        <f>W41+X41-Y41</f>
        <v>5750</v>
      </c>
    </row>
    <row r="42" spans="1:26">
      <c r="A42" t="s">
        <v>114</v>
      </c>
      <c r="K42" s="39"/>
      <c r="N42" s="39"/>
      <c r="X42" s="57">
        <v>4500</v>
      </c>
      <c r="Z42" s="55">
        <f>W42+X42-Y42</f>
        <v>4500</v>
      </c>
    </row>
    <row r="43" spans="1:26">
      <c r="A43" t="s">
        <v>115</v>
      </c>
      <c r="K43" s="39"/>
      <c r="N43" s="39"/>
      <c r="X43" s="57">
        <v>6088</v>
      </c>
      <c r="Z43" s="55">
        <f t="shared" ref="Z43:Z44" si="32">W43+X43-Y43</f>
        <v>6088</v>
      </c>
    </row>
    <row r="44" spans="1:26">
      <c r="A44" t="s">
        <v>116</v>
      </c>
      <c r="K44" s="39"/>
      <c r="N44" s="39"/>
      <c r="X44" s="57">
        <v>500</v>
      </c>
      <c r="Z44" s="55">
        <f t="shared" si="32"/>
        <v>500</v>
      </c>
    </row>
    <row r="45" spans="1:26" ht="15.75" thickBot="1">
      <c r="A45" t="s">
        <v>93</v>
      </c>
      <c r="H45" s="56">
        <f>H40+H34</f>
        <v>20865</v>
      </c>
      <c r="K45" s="56">
        <f>K40+K34</f>
        <v>39429.61</v>
      </c>
      <c r="N45" s="56">
        <f>N40+N34</f>
        <v>53872.770000000004</v>
      </c>
      <c r="Q45" s="56">
        <f>SUM(Q40:Q41)+Q34</f>
        <v>50640.7</v>
      </c>
      <c r="T45" s="56">
        <f>SUM(T40:T41)+T34</f>
        <v>28328.65</v>
      </c>
      <c r="W45" s="56">
        <f>SUM(W40:W41)+W34</f>
        <v>18936.150000000001</v>
      </c>
      <c r="Z45" s="56">
        <f>SUM(Z40:Z44)+Z34</f>
        <v>35394.990000000005</v>
      </c>
    </row>
    <row r="46" spans="1:26" ht="15.75" thickTop="1"/>
    <row r="47" spans="1:26" s="55" customFormat="1">
      <c r="A47" s="55" t="s">
        <v>94</v>
      </c>
      <c r="H47" s="55">
        <v>1222.6600000000001</v>
      </c>
      <c r="K47" s="55">
        <v>1213.07</v>
      </c>
      <c r="N47" s="55">
        <v>1410.85</v>
      </c>
      <c r="Q47" s="55">
        <v>1409.89</v>
      </c>
      <c r="T47" s="55">
        <v>1268.78</v>
      </c>
      <c r="W47" s="55">
        <v>1295.1199999999999</v>
      </c>
      <c r="Z47" s="66">
        <v>1068.78</v>
      </c>
    </row>
    <row r="48" spans="1:26" s="55" customFormat="1"/>
    <row r="49" spans="1:26" s="55" customFormat="1">
      <c r="A49" s="55" t="s">
        <v>95</v>
      </c>
      <c r="H49" s="55">
        <f>SUM(H45:H47)</f>
        <v>22087.66</v>
      </c>
      <c r="K49" s="55">
        <f>SUM(K45:K47)</f>
        <v>40642.68</v>
      </c>
      <c r="N49" s="55">
        <f>SUM(N45:N47)</f>
        <v>55283.62</v>
      </c>
      <c r="Q49" s="55">
        <f>SUM(Q45:Q47)</f>
        <v>52050.59</v>
      </c>
      <c r="T49" s="55">
        <f>SUM(T45:T47)</f>
        <v>29597.43</v>
      </c>
      <c r="W49" s="55">
        <f>SUM(W45:W47)</f>
        <v>20231.27</v>
      </c>
      <c r="Z49" s="55">
        <f>SUM(Z45:Z47)</f>
        <v>36463.770000000004</v>
      </c>
    </row>
    <row r="50" spans="1:26" s="55" customFormat="1"/>
    <row r="51" spans="1:26" s="55" customFormat="1">
      <c r="A51" s="55" t="s">
        <v>96</v>
      </c>
      <c r="H51" s="55">
        <f>28411.79+1222.66</f>
        <v>29634.45</v>
      </c>
      <c r="K51" s="55">
        <f>34837.38+1213.07</f>
        <v>36050.449999999997</v>
      </c>
      <c r="N51" s="55">
        <f>57950.59+1410.85</f>
        <v>59361.439999999995</v>
      </c>
      <c r="Q51" s="55">
        <v>59256.12</v>
      </c>
      <c r="T51" s="55">
        <v>36060</v>
      </c>
      <c r="W51" s="55">
        <f>12001.69+1295.12+15319.28</f>
        <v>28616.090000000004</v>
      </c>
      <c r="Z51" s="66">
        <f>31034.86+15319.28</f>
        <v>46354.14</v>
      </c>
    </row>
    <row r="52" spans="1:26" s="55" customFormat="1"/>
    <row r="53" spans="1:26" s="55" customFormat="1">
      <c r="A53" s="55" t="s">
        <v>37</v>
      </c>
      <c r="H53" s="55">
        <f>H51-H45-H47</f>
        <v>7546.7900000000009</v>
      </c>
      <c r="K53" s="55">
        <f>K51-K45-K47</f>
        <v>-4592.2300000000032</v>
      </c>
      <c r="N53" s="55">
        <f>N51-N45-N47</f>
        <v>4077.8199999999911</v>
      </c>
      <c r="Q53" s="55">
        <f>Q51-Q45-Q47</f>
        <v>7205.5300000000052</v>
      </c>
      <c r="T53" s="55">
        <f>T51-T45-T47</f>
        <v>6462.5699999999988</v>
      </c>
      <c r="W53" s="55">
        <f>W51-W45-W47</f>
        <v>8384.8200000000033</v>
      </c>
      <c r="Z53" s="55">
        <f>Z51-Z45-Z47</f>
        <v>9890.3699999999935</v>
      </c>
    </row>
    <row r="54" spans="1:26" s="55" customFormat="1"/>
    <row r="55" spans="1:26">
      <c r="T55" s="55">
        <f>T51-T47</f>
        <v>34791.22</v>
      </c>
      <c r="W55" s="55">
        <f>W51-W47</f>
        <v>27320.970000000005</v>
      </c>
    </row>
    <row r="57" spans="1:26">
      <c r="V57" t="s">
        <v>119</v>
      </c>
      <c r="W57" s="39">
        <f>W7</f>
        <v>11374</v>
      </c>
    </row>
    <row r="58" spans="1:26">
      <c r="V58" t="s">
        <v>120</v>
      </c>
      <c r="W58" s="39">
        <f>W5</f>
        <v>1319</v>
      </c>
    </row>
    <row r="59" spans="1:26">
      <c r="V59" t="s">
        <v>121</v>
      </c>
      <c r="W59" s="39">
        <f>W6+W8</f>
        <v>1262</v>
      </c>
    </row>
    <row r="60" spans="1:26">
      <c r="V60" t="s">
        <v>122</v>
      </c>
      <c r="W60" s="39">
        <f>W11+W12</f>
        <v>378</v>
      </c>
    </row>
    <row r="61" spans="1:26">
      <c r="V61" t="s">
        <v>123</v>
      </c>
      <c r="W61" s="39">
        <f>W13+W15</f>
        <v>1700</v>
      </c>
    </row>
    <row r="62" spans="1:26">
      <c r="V62" t="s">
        <v>77</v>
      </c>
      <c r="W62" s="39">
        <f>W14</f>
        <v>1400</v>
      </c>
    </row>
    <row r="63" spans="1:26">
      <c r="V63" t="s">
        <v>124</v>
      </c>
      <c r="W63" s="39">
        <f>W19</f>
        <v>200</v>
      </c>
    </row>
    <row r="64" spans="1:26">
      <c r="V64" t="s">
        <v>83</v>
      </c>
      <c r="W64" s="39">
        <f>W20</f>
        <v>200</v>
      </c>
    </row>
    <row r="65" spans="22:23">
      <c r="V65" t="s">
        <v>125</v>
      </c>
      <c r="W65" s="55">
        <f>W28</f>
        <v>1103.1500000000001</v>
      </c>
    </row>
    <row r="66" spans="22:23">
      <c r="V66" t="s">
        <v>31</v>
      </c>
      <c r="W66" s="55">
        <f>W40</f>
        <v>0</v>
      </c>
    </row>
    <row r="67" spans="22:23">
      <c r="V67" t="s">
        <v>126</v>
      </c>
      <c r="W67" s="55">
        <f>W53</f>
        <v>8384.8200000000033</v>
      </c>
    </row>
    <row r="69" spans="22:23">
      <c r="W69" s="55">
        <f>SUM(W57:W68)</f>
        <v>27320.970000000005</v>
      </c>
    </row>
    <row r="70" spans="22:23">
      <c r="W70" s="55">
        <f>W45+W53</f>
        <v>27320.970000000005</v>
      </c>
    </row>
    <row r="71" spans="22:23">
      <c r="W71" s="55">
        <f>W70-W69</f>
        <v>0</v>
      </c>
    </row>
  </sheetData>
  <pageMargins left="0.43" right="0.16" top="0.22" bottom="0.25" header="0.17" footer="0.16"/>
  <pageSetup paperSize="9" scale="69" fitToWidth="2" orientation="landscape" horizontalDpi="4294967294" r:id="rId1"/>
  <colBreaks count="1" manualBreakCount="1">
    <brk id="17" max="4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view="pageBreakPreview" topLeftCell="A9" zoomScaleNormal="100" zoomScaleSheetLayoutView="100" workbookViewId="0">
      <selection activeCell="H20" sqref="H20"/>
    </sheetView>
  </sheetViews>
  <sheetFormatPr defaultColWidth="9.140625" defaultRowHeight="15"/>
  <cols>
    <col min="1" max="1" width="10.7109375" style="3" bestFit="1" customWidth="1"/>
    <col min="2" max="2" width="27" style="2" customWidth="1"/>
    <col min="3" max="3" width="2.28515625" style="3" customWidth="1"/>
    <col min="4" max="4" width="11.7109375" style="4" customWidth="1"/>
    <col min="5" max="5" width="10.42578125" style="4" bestFit="1" customWidth="1"/>
    <col min="6" max="8" width="10.28515625" style="4" bestFit="1" customWidth="1"/>
    <col min="9" max="9" width="9.140625" style="4" hidden="1" customWidth="1"/>
    <col min="10" max="10" width="4.42578125" style="3" customWidth="1"/>
    <col min="11" max="12" width="9.140625" style="3"/>
    <col min="13" max="15" width="10.5703125" style="3" bestFit="1" customWidth="1"/>
    <col min="16" max="16384" width="9.140625" style="3"/>
  </cols>
  <sheetData>
    <row r="1" spans="1:11" ht="18.75">
      <c r="A1" s="1" t="s">
        <v>0</v>
      </c>
    </row>
    <row r="2" spans="1:11" ht="8.25" customHeight="1"/>
    <row r="3" spans="1:11">
      <c r="A3" s="5" t="s">
        <v>110</v>
      </c>
    </row>
    <row r="4" spans="1:11">
      <c r="A4" s="5" t="s">
        <v>111</v>
      </c>
    </row>
    <row r="5" spans="1:11" ht="30" customHeight="1">
      <c r="A5" s="6" t="s">
        <v>1</v>
      </c>
      <c r="D5" s="7" t="s">
        <v>1</v>
      </c>
      <c r="E5" s="7" t="s">
        <v>2</v>
      </c>
      <c r="F5" s="8" t="s">
        <v>3</v>
      </c>
      <c r="G5" s="7" t="s">
        <v>4</v>
      </c>
      <c r="H5" s="9" t="s">
        <v>5</v>
      </c>
    </row>
    <row r="6" spans="1:11">
      <c r="A6" s="53" t="s">
        <v>6</v>
      </c>
      <c r="B6" s="10"/>
      <c r="D6" s="51" t="s">
        <v>128</v>
      </c>
      <c r="E6" s="54" t="s">
        <v>129</v>
      </c>
      <c r="F6" s="54" t="s">
        <v>45</v>
      </c>
      <c r="G6" s="54" t="s">
        <v>45</v>
      </c>
      <c r="H6" s="51" t="s">
        <v>112</v>
      </c>
      <c r="I6" s="7" t="s">
        <v>7</v>
      </c>
      <c r="J6" s="6"/>
    </row>
    <row r="7" spans="1:11">
      <c r="A7" s="6" t="s">
        <v>8</v>
      </c>
      <c r="D7" s="6" t="s">
        <v>8</v>
      </c>
      <c r="E7" s="6" t="s">
        <v>8</v>
      </c>
      <c r="F7" s="6" t="s">
        <v>8</v>
      </c>
      <c r="G7" s="6" t="s">
        <v>8</v>
      </c>
      <c r="H7" s="6" t="s">
        <v>8</v>
      </c>
    </row>
    <row r="8" spans="1:11">
      <c r="A8" s="11"/>
      <c r="B8" s="12" t="s">
        <v>9</v>
      </c>
      <c r="C8" s="11"/>
    </row>
    <row r="9" spans="1:11">
      <c r="A9" s="13">
        <v>6624.34</v>
      </c>
      <c r="B9" s="14" t="s">
        <v>10</v>
      </c>
      <c r="C9" s="11"/>
      <c r="D9" s="4">
        <f>3390.2+345.91+86.4+134.95+345.71+86.6+134.95</f>
        <v>4524.7199999999993</v>
      </c>
      <c r="E9" s="4">
        <f>(496.47*4)+134.95+226.99+(146.46*3)</f>
        <v>2787.2</v>
      </c>
      <c r="F9" s="4">
        <f t="shared" ref="F9:F28" si="0">E9+D9</f>
        <v>7311.9199999999992</v>
      </c>
      <c r="G9" s="4">
        <v>7500</v>
      </c>
      <c r="H9" s="4">
        <v>7500</v>
      </c>
      <c r="I9" s="15">
        <f>D9/G9</f>
        <v>0.60329599999999994</v>
      </c>
      <c r="J9" s="16"/>
      <c r="K9" s="4"/>
    </row>
    <row r="10" spans="1:11">
      <c r="A10" s="13">
        <v>300</v>
      </c>
      <c r="B10" s="14" t="s">
        <v>11</v>
      </c>
      <c r="C10" s="11"/>
      <c r="D10" s="4">
        <v>200</v>
      </c>
      <c r="F10" s="4">
        <f t="shared" si="0"/>
        <v>200</v>
      </c>
      <c r="G10" s="4">
        <v>300</v>
      </c>
      <c r="H10" s="4">
        <v>315</v>
      </c>
      <c r="I10" s="15">
        <f t="shared" ref="I10:I26" si="1">D10/G10</f>
        <v>0.66666666666666663</v>
      </c>
      <c r="J10" s="16"/>
    </row>
    <row r="11" spans="1:11">
      <c r="A11" s="13">
        <v>75</v>
      </c>
      <c r="B11" s="14" t="s">
        <v>12</v>
      </c>
      <c r="C11" s="11"/>
      <c r="D11" s="4">
        <v>75</v>
      </c>
      <c r="F11" s="4">
        <f t="shared" si="0"/>
        <v>75</v>
      </c>
      <c r="G11" s="4">
        <v>80</v>
      </c>
      <c r="H11" s="4">
        <v>80</v>
      </c>
      <c r="I11" s="15">
        <f t="shared" si="1"/>
        <v>0.9375</v>
      </c>
      <c r="J11" s="16"/>
    </row>
    <row r="12" spans="1:11">
      <c r="A12" s="13">
        <v>304.3</v>
      </c>
      <c r="B12" s="14" t="s">
        <v>13</v>
      </c>
      <c r="C12" s="11"/>
      <c r="D12" s="4">
        <v>304.3</v>
      </c>
      <c r="F12" s="4">
        <f t="shared" si="0"/>
        <v>304.3</v>
      </c>
      <c r="G12" s="4">
        <v>350</v>
      </c>
      <c r="H12" s="4">
        <v>350</v>
      </c>
      <c r="I12" s="15">
        <f t="shared" si="1"/>
        <v>0.86942857142857144</v>
      </c>
      <c r="J12" s="16"/>
    </row>
    <row r="13" spans="1:11">
      <c r="A13" s="13">
        <v>7209.2</v>
      </c>
      <c r="B13" s="14" t="s">
        <v>14</v>
      </c>
      <c r="C13" s="11"/>
      <c r="D13" s="4">
        <v>3540</v>
      </c>
      <c r="E13" s="4">
        <v>3700</v>
      </c>
      <c r="F13" s="4">
        <f t="shared" si="0"/>
        <v>7240</v>
      </c>
      <c r="G13" s="4">
        <v>7500</v>
      </c>
      <c r="H13" s="4">
        <v>8000</v>
      </c>
      <c r="I13" s="15">
        <f t="shared" si="1"/>
        <v>0.47199999999999998</v>
      </c>
      <c r="J13" s="16"/>
    </row>
    <row r="14" spans="1:11">
      <c r="A14" s="50">
        <v>110</v>
      </c>
      <c r="B14" s="14" t="s">
        <v>15</v>
      </c>
      <c r="C14" s="11"/>
      <c r="D14" s="4">
        <v>55</v>
      </c>
      <c r="F14" s="4">
        <f t="shared" si="0"/>
        <v>55</v>
      </c>
      <c r="G14" s="4">
        <v>100</v>
      </c>
      <c r="H14" s="4">
        <v>100</v>
      </c>
      <c r="I14" s="17">
        <f t="shared" si="1"/>
        <v>0.55000000000000004</v>
      </c>
      <c r="J14" s="16"/>
    </row>
    <row r="15" spans="1:11">
      <c r="A15" s="50">
        <v>308.49</v>
      </c>
      <c r="B15" s="14" t="s">
        <v>16</v>
      </c>
      <c r="C15" s="11"/>
      <c r="D15" s="4">
        <v>264.16000000000003</v>
      </c>
      <c r="E15" s="4">
        <f>16+40</f>
        <v>56</v>
      </c>
      <c r="F15" s="4">
        <f t="shared" si="0"/>
        <v>320.16000000000003</v>
      </c>
      <c r="G15" s="4">
        <v>300</v>
      </c>
      <c r="H15" s="4">
        <v>330</v>
      </c>
      <c r="I15" s="17">
        <f t="shared" si="1"/>
        <v>0.88053333333333339</v>
      </c>
      <c r="J15" s="16"/>
    </row>
    <row r="16" spans="1:11">
      <c r="A16" s="50">
        <v>319.61</v>
      </c>
      <c r="B16" s="14" t="s">
        <v>17</v>
      </c>
      <c r="C16" s="11"/>
      <c r="D16" s="4">
        <f>104.46+11.12+10.88+31.02</f>
        <v>157.47999999999999</v>
      </c>
      <c r="E16" s="4">
        <f>D16/7*4</f>
        <v>89.988571428571419</v>
      </c>
      <c r="F16" s="4">
        <f t="shared" si="0"/>
        <v>247.46857142857141</v>
      </c>
      <c r="G16" s="4">
        <v>550</v>
      </c>
      <c r="H16" s="4">
        <v>500</v>
      </c>
      <c r="I16" s="15">
        <f t="shared" si="1"/>
        <v>0.28632727272727271</v>
      </c>
      <c r="J16" s="16"/>
    </row>
    <row r="17" spans="1:16">
      <c r="A17" s="50">
        <v>283</v>
      </c>
      <c r="B17" s="18" t="s">
        <v>113</v>
      </c>
      <c r="C17" s="11"/>
      <c r="D17" s="4">
        <f>221+32+32</f>
        <v>285</v>
      </c>
      <c r="E17" s="4">
        <f>D17/7*4</f>
        <v>162.85714285714286</v>
      </c>
      <c r="F17" s="4">
        <f t="shared" si="0"/>
        <v>447.85714285714289</v>
      </c>
      <c r="G17" s="4">
        <v>450</v>
      </c>
      <c r="H17" s="4">
        <v>400</v>
      </c>
      <c r="I17" s="15">
        <f t="shared" si="1"/>
        <v>0.6333333333333333</v>
      </c>
      <c r="J17" s="16"/>
    </row>
    <row r="18" spans="1:16">
      <c r="A18" s="50">
        <v>180</v>
      </c>
      <c r="B18" s="14" t="s">
        <v>18</v>
      </c>
      <c r="C18" s="11"/>
      <c r="D18" s="4">
        <v>80</v>
      </c>
      <c r="E18" s="4">
        <v>120</v>
      </c>
      <c r="F18" s="4">
        <f t="shared" si="0"/>
        <v>200</v>
      </c>
      <c r="G18" s="4">
        <v>250</v>
      </c>
      <c r="H18" s="4">
        <v>250</v>
      </c>
      <c r="I18" s="15">
        <f t="shared" si="1"/>
        <v>0.32</v>
      </c>
      <c r="J18" s="16"/>
    </row>
    <row r="19" spans="1:16">
      <c r="A19" s="50">
        <v>2010.26</v>
      </c>
      <c r="B19" s="14" t="s">
        <v>19</v>
      </c>
      <c r="C19" s="11"/>
      <c r="D19" s="4">
        <f>1102.56+5.4</f>
        <v>1107.96</v>
      </c>
      <c r="F19" s="4">
        <f t="shared" si="0"/>
        <v>1107.96</v>
      </c>
      <c r="G19" s="4">
        <v>500</v>
      </c>
      <c r="H19" s="4">
        <v>500</v>
      </c>
      <c r="I19" s="17">
        <f t="shared" si="1"/>
        <v>2.2159200000000001</v>
      </c>
      <c r="J19" s="16"/>
    </row>
    <row r="20" spans="1:16">
      <c r="A20" s="50"/>
      <c r="B20" s="18" t="s">
        <v>127</v>
      </c>
      <c r="C20" s="11"/>
      <c r="H20" s="4">
        <v>200</v>
      </c>
      <c r="I20" s="17"/>
      <c r="J20" s="16"/>
    </row>
    <row r="21" spans="1:16">
      <c r="A21" s="50">
        <v>104.1</v>
      </c>
      <c r="B21" s="14" t="s">
        <v>20</v>
      </c>
      <c r="C21" s="11"/>
      <c r="D21" s="4">
        <f>60+17.5+15+15+22.5</f>
        <v>130</v>
      </c>
      <c r="E21" s="4">
        <v>40</v>
      </c>
      <c r="F21" s="4">
        <f t="shared" si="0"/>
        <v>170</v>
      </c>
      <c r="G21" s="4">
        <v>150</v>
      </c>
      <c r="H21" s="4">
        <v>150</v>
      </c>
      <c r="I21" s="17">
        <f t="shared" si="1"/>
        <v>0.8666666666666667</v>
      </c>
      <c r="J21" s="16"/>
    </row>
    <row r="22" spans="1:16">
      <c r="A22" s="52"/>
      <c r="B22" s="18" t="s">
        <v>21</v>
      </c>
      <c r="C22" s="11"/>
      <c r="D22" s="4">
        <v>663.83</v>
      </c>
      <c r="F22" s="4">
        <f t="shared" si="0"/>
        <v>663.83</v>
      </c>
      <c r="G22" s="4">
        <v>500</v>
      </c>
      <c r="H22" s="4">
        <v>700</v>
      </c>
      <c r="I22" s="17">
        <f t="shared" si="1"/>
        <v>1.3276600000000001</v>
      </c>
      <c r="J22" s="16"/>
    </row>
    <row r="23" spans="1:16">
      <c r="A23" s="13"/>
      <c r="B23" s="18" t="s">
        <v>108</v>
      </c>
      <c r="C23" s="11"/>
      <c r="H23" s="4">
        <v>150</v>
      </c>
      <c r="I23" s="17"/>
      <c r="J23" s="16"/>
    </row>
    <row r="24" spans="1:16">
      <c r="A24" s="13"/>
      <c r="B24" s="18" t="s">
        <v>109</v>
      </c>
      <c r="C24" s="11"/>
      <c r="H24" s="4">
        <v>349</v>
      </c>
      <c r="I24" s="17"/>
      <c r="J24" s="16"/>
      <c r="L24" s="49"/>
    </row>
    <row r="25" spans="1:16">
      <c r="A25" s="4">
        <v>35</v>
      </c>
      <c r="B25" s="14" t="s">
        <v>22</v>
      </c>
      <c r="C25" s="11"/>
      <c r="D25" s="4">
        <v>35</v>
      </c>
      <c r="F25" s="4">
        <f t="shared" si="0"/>
        <v>35</v>
      </c>
      <c r="G25" s="4">
        <v>50</v>
      </c>
      <c r="H25" s="4">
        <v>50</v>
      </c>
      <c r="I25" s="17">
        <f t="shared" si="1"/>
        <v>0.7</v>
      </c>
      <c r="J25" s="16"/>
    </row>
    <row r="26" spans="1:16">
      <c r="A26" s="11"/>
      <c r="B26" s="18" t="s">
        <v>23</v>
      </c>
      <c r="C26" s="11"/>
      <c r="E26" s="4">
        <v>1550</v>
      </c>
      <c r="F26" s="4">
        <f t="shared" si="0"/>
        <v>1550</v>
      </c>
      <c r="G26" s="4">
        <v>1550</v>
      </c>
      <c r="H26" s="4">
        <v>1550</v>
      </c>
      <c r="I26" s="17">
        <f t="shared" si="1"/>
        <v>0</v>
      </c>
      <c r="J26" s="16"/>
    </row>
    <row r="27" spans="1:16">
      <c r="A27" s="11"/>
      <c r="B27" s="18" t="s">
        <v>130</v>
      </c>
      <c r="C27" s="11"/>
      <c r="H27" s="4">
        <v>640</v>
      </c>
      <c r="I27" s="17"/>
      <c r="J27" s="16"/>
    </row>
    <row r="28" spans="1:16">
      <c r="A28" s="11">
        <v>346</v>
      </c>
      <c r="B28" s="18" t="s">
        <v>97</v>
      </c>
      <c r="C28" s="11"/>
      <c r="F28" s="4">
        <f t="shared" si="0"/>
        <v>0</v>
      </c>
    </row>
    <row r="29" spans="1:16">
      <c r="A29" s="11"/>
      <c r="B29" s="12" t="s">
        <v>24</v>
      </c>
      <c r="C29" s="11"/>
      <c r="M29" s="25"/>
      <c r="N29" s="47"/>
      <c r="O29" s="45"/>
      <c r="P29" s="45"/>
    </row>
    <row r="30" spans="1:16" s="29" customFormat="1">
      <c r="A30" s="52">
        <v>-5</v>
      </c>
      <c r="B30" s="30" t="s">
        <v>25</v>
      </c>
      <c r="F30" s="29">
        <f t="shared" ref="F30:F33" si="2">E30+D30</f>
        <v>0</v>
      </c>
      <c r="I30" s="31" t="e">
        <f>D30/G30</f>
        <v>#DIV/0!</v>
      </c>
      <c r="J30" s="31"/>
    </row>
    <row r="31" spans="1:16" s="29" customFormat="1">
      <c r="A31" s="52">
        <v>-161.74</v>
      </c>
      <c r="B31" s="30" t="s">
        <v>26</v>
      </c>
      <c r="D31" s="29">
        <v>-161.74</v>
      </c>
      <c r="F31" s="29">
        <f>E31+D31</f>
        <v>-161.74</v>
      </c>
      <c r="G31" s="29">
        <v>-162</v>
      </c>
      <c r="H31" s="29">
        <v>-162</v>
      </c>
      <c r="I31" s="31"/>
      <c r="J31" s="31"/>
    </row>
    <row r="32" spans="1:16" s="29" customFormat="1">
      <c r="A32" s="52">
        <v>-514.75</v>
      </c>
      <c r="B32" s="30" t="s">
        <v>27</v>
      </c>
      <c r="D32" s="29">
        <v>-52.97</v>
      </c>
      <c r="E32" s="29">
        <v>-150</v>
      </c>
      <c r="F32" s="29">
        <f t="shared" si="2"/>
        <v>-202.97</v>
      </c>
      <c r="G32" s="29">
        <v>-300</v>
      </c>
      <c r="H32" s="29">
        <v>-200</v>
      </c>
      <c r="I32" s="31">
        <f>D32/G32</f>
        <v>0.17656666666666665</v>
      </c>
      <c r="J32" s="31"/>
    </row>
    <row r="33" spans="1:10" s="29" customFormat="1">
      <c r="A33" s="52">
        <v>-41.47</v>
      </c>
      <c r="B33" s="30" t="s">
        <v>98</v>
      </c>
      <c r="E33" s="29">
        <v>-40</v>
      </c>
      <c r="F33" s="29">
        <f t="shared" si="2"/>
        <v>-40</v>
      </c>
      <c r="I33" s="31"/>
      <c r="J33" s="31"/>
    </row>
    <row r="34" spans="1:10">
      <c r="A34" s="11"/>
      <c r="B34" s="14"/>
      <c r="C34" s="11"/>
    </row>
    <row r="35" spans="1:10">
      <c r="A35" s="46">
        <f>SUM(A9:A34)</f>
        <v>17486.339999999997</v>
      </c>
      <c r="B35" s="14"/>
      <c r="C35" s="11"/>
      <c r="D35" s="19">
        <f>SUM(D9:D34)</f>
        <v>11207.74</v>
      </c>
      <c r="E35" s="19">
        <f>SUM(E9:E34)</f>
        <v>8316.045714285714</v>
      </c>
      <c r="F35" s="19">
        <f>SUM(F9:F34)</f>
        <v>19523.785714285714</v>
      </c>
      <c r="G35" s="19">
        <f>SUM(G9:G34)</f>
        <v>19668</v>
      </c>
      <c r="H35" s="19">
        <f>SUM(H9:H34)</f>
        <v>21752</v>
      </c>
      <c r="I35" s="17">
        <f t="shared" ref="I35" si="3">D35/G35</f>
        <v>0.56984645108806187</v>
      </c>
      <c r="J35" s="16"/>
    </row>
    <row r="36" spans="1:10">
      <c r="A36" s="11"/>
      <c r="B36" s="14"/>
      <c r="C36" s="11"/>
    </row>
    <row r="37" spans="1:10" ht="15.75" thickBot="1">
      <c r="A37" s="4">
        <v>16500</v>
      </c>
      <c r="B37" s="14" t="s">
        <v>5</v>
      </c>
      <c r="C37" s="11"/>
      <c r="D37" s="4">
        <v>16500</v>
      </c>
      <c r="F37" s="4">
        <v>21668</v>
      </c>
      <c r="G37" s="4">
        <v>21668</v>
      </c>
      <c r="H37" s="20">
        <v>21752</v>
      </c>
      <c r="I37" s="17">
        <f>D37/G37</f>
        <v>0.76149160051689124</v>
      </c>
      <c r="J37" s="16"/>
    </row>
    <row r="38" spans="1:10" ht="15.75" thickTop="1">
      <c r="A38" s="11"/>
      <c r="B38" s="14"/>
      <c r="C38" s="11"/>
      <c r="I38" s="17"/>
      <c r="J38" s="16"/>
    </row>
    <row r="39" spans="1:10">
      <c r="A39" s="52">
        <f>A37-A35</f>
        <v>-986.33999999999651</v>
      </c>
      <c r="B39" s="14" t="s">
        <v>28</v>
      </c>
      <c r="C39" s="11"/>
      <c r="D39" s="29"/>
      <c r="E39" s="29"/>
      <c r="F39" s="29">
        <f t="shared" ref="F39" si="4">F37-F35</f>
        <v>2144.2142857142862</v>
      </c>
      <c r="G39" s="29">
        <f>G37-G35</f>
        <v>2000</v>
      </c>
      <c r="H39" s="29">
        <f>H37-H35</f>
        <v>0</v>
      </c>
    </row>
    <row r="40" spans="1:10">
      <c r="A40" s="4"/>
      <c r="B40" s="14"/>
      <c r="C40" s="11"/>
      <c r="D40" s="29"/>
      <c r="E40" s="29"/>
      <c r="F40" s="29"/>
      <c r="G40" s="29"/>
      <c r="H40" s="29"/>
    </row>
    <row r="41" spans="1:10" hidden="1">
      <c r="A41" s="4">
        <v>6934.78</v>
      </c>
      <c r="B41" s="14" t="s">
        <v>29</v>
      </c>
      <c r="C41" s="11"/>
      <c r="D41" s="4">
        <v>3594.23</v>
      </c>
      <c r="F41" s="4">
        <f>E41+D41</f>
        <v>3594.23</v>
      </c>
      <c r="I41" s="17" t="e">
        <f>D41/G41</f>
        <v>#DIV/0!</v>
      </c>
      <c r="J41" s="16"/>
    </row>
    <row r="42" spans="1:10" hidden="1">
      <c r="A42" s="4">
        <v>-6826.36</v>
      </c>
      <c r="B42" s="14" t="s">
        <v>30</v>
      </c>
      <c r="C42" s="11"/>
      <c r="D42" s="4">
        <v>-2903.2000000000003</v>
      </c>
      <c r="E42" s="4">
        <v>-300</v>
      </c>
      <c r="F42" s="4">
        <f>E42+D42</f>
        <v>-3203.2000000000003</v>
      </c>
      <c r="I42" s="17" t="e">
        <f>D42/G42</f>
        <v>#DIV/0!</v>
      </c>
      <c r="J42" s="16"/>
    </row>
    <row r="43" spans="1:10" hidden="1">
      <c r="A43" s="4">
        <v>1000</v>
      </c>
      <c r="B43" s="48" t="s">
        <v>99</v>
      </c>
      <c r="C43" s="11"/>
      <c r="I43" s="17"/>
      <c r="J43" s="16"/>
    </row>
    <row r="44" spans="1:10" hidden="1">
      <c r="A44" s="4">
        <v>-1000</v>
      </c>
      <c r="B44" s="48" t="s">
        <v>99</v>
      </c>
      <c r="C44" s="11"/>
      <c r="I44" s="17"/>
      <c r="J44" s="16"/>
    </row>
    <row r="45" spans="1:10" hidden="1">
      <c r="A45" s="4">
        <v>5000</v>
      </c>
      <c r="B45" s="48" t="s">
        <v>100</v>
      </c>
      <c r="C45" s="11"/>
      <c r="I45" s="17"/>
      <c r="J45" s="16"/>
    </row>
    <row r="46" spans="1:10" hidden="1">
      <c r="A46" s="4">
        <v>-5000</v>
      </c>
      <c r="B46" s="48" t="s">
        <v>100</v>
      </c>
      <c r="C46" s="11"/>
      <c r="I46" s="17"/>
      <c r="J46" s="16"/>
    </row>
    <row r="47" spans="1:10" hidden="1">
      <c r="A47" s="4">
        <v>-1500</v>
      </c>
      <c r="B47" s="48" t="s">
        <v>101</v>
      </c>
      <c r="C47" s="11"/>
      <c r="I47" s="17"/>
      <c r="J47" s="16"/>
    </row>
    <row r="48" spans="1:10" hidden="1">
      <c r="A48" s="4">
        <v>-2000</v>
      </c>
      <c r="B48" s="48" t="s">
        <v>102</v>
      </c>
      <c r="C48" s="11"/>
      <c r="I48" s="17"/>
      <c r="J48" s="16"/>
    </row>
    <row r="49" spans="1:10" hidden="1">
      <c r="A49" s="4">
        <v>0</v>
      </c>
      <c r="B49" s="48" t="s">
        <v>103</v>
      </c>
      <c r="C49" s="11"/>
      <c r="D49" s="4">
        <v>148.27000000000001</v>
      </c>
      <c r="E49" s="4">
        <v>50</v>
      </c>
      <c r="F49" s="4">
        <f>E49+D49</f>
        <v>198.27</v>
      </c>
      <c r="G49" s="4">
        <f>F49</f>
        <v>198.27</v>
      </c>
      <c r="I49" s="17">
        <f>D49/G49</f>
        <v>0.74781863115952996</v>
      </c>
      <c r="J49" s="16"/>
    </row>
    <row r="50" spans="1:10" hidden="1">
      <c r="A50" s="4">
        <v>-15362.05</v>
      </c>
      <c r="B50" s="48" t="s">
        <v>104</v>
      </c>
      <c r="C50" s="11"/>
      <c r="I50" s="17"/>
      <c r="J50" s="16"/>
    </row>
    <row r="51" spans="1:10" hidden="1">
      <c r="A51" s="4">
        <v>1047.2</v>
      </c>
      <c r="B51" s="14" t="s">
        <v>32</v>
      </c>
      <c r="C51" s="11"/>
      <c r="F51" s="4">
        <f t="shared" ref="F51:F52" si="5">E51+D51</f>
        <v>0</v>
      </c>
      <c r="I51" s="17"/>
      <c r="J51" s="16"/>
    </row>
    <row r="52" spans="1:10" hidden="1">
      <c r="A52" s="4">
        <v>-1047.2</v>
      </c>
      <c r="B52" s="14" t="s">
        <v>33</v>
      </c>
      <c r="C52" s="11"/>
      <c r="F52" s="4">
        <f t="shared" si="5"/>
        <v>0</v>
      </c>
      <c r="I52" s="17"/>
      <c r="J52" s="16"/>
    </row>
    <row r="53" spans="1:10" hidden="1">
      <c r="B53" s="14"/>
      <c r="C53" s="11"/>
      <c r="I53" s="17"/>
      <c r="J53" s="16"/>
    </row>
    <row r="54" spans="1:10" hidden="1">
      <c r="A54" s="11"/>
      <c r="B54" s="14" t="s">
        <v>34</v>
      </c>
      <c r="C54" s="11"/>
      <c r="F54" s="21">
        <f>-2300+168</f>
        <v>-2132</v>
      </c>
      <c r="G54" s="21">
        <v>12700</v>
      </c>
      <c r="H54" s="21">
        <v>17000</v>
      </c>
    </row>
    <row r="55" spans="1:10" hidden="1">
      <c r="A55" s="11"/>
      <c r="B55" s="14" t="s">
        <v>35</v>
      </c>
      <c r="C55" s="11"/>
      <c r="F55" s="4">
        <f>F39+F54</f>
        <v>12.214285714286234</v>
      </c>
      <c r="G55" s="4">
        <f>G39+G54</f>
        <v>14700</v>
      </c>
      <c r="H55" s="4">
        <f>H39+H54</f>
        <v>17000</v>
      </c>
    </row>
    <row r="56" spans="1:10" hidden="1">
      <c r="A56" s="11"/>
      <c r="B56" s="14"/>
      <c r="C56" s="11"/>
    </row>
    <row r="57" spans="1:10" hidden="1">
      <c r="A57" s="22">
        <v>57846.23</v>
      </c>
      <c r="B57" s="2" t="s">
        <v>36</v>
      </c>
      <c r="F57" s="21">
        <f>A63</f>
        <v>34791.22</v>
      </c>
      <c r="G57" s="21">
        <f>A63</f>
        <v>34791.22</v>
      </c>
      <c r="H57" s="21">
        <f>F63</f>
        <v>55037.42</v>
      </c>
    </row>
    <row r="58" spans="1:10" hidden="1">
      <c r="A58" s="11">
        <f>SUM(A39:A57)</f>
        <v>38106.260000000009</v>
      </c>
      <c r="F58" s="4">
        <f>F57+F39+F49</f>
        <v>37133.704285714288</v>
      </c>
      <c r="G58" s="4">
        <f>G57+G39+G49</f>
        <v>36989.49</v>
      </c>
      <c r="H58" s="4">
        <f>H57+H39</f>
        <v>55037.42</v>
      </c>
    </row>
    <row r="59" spans="1:10" hidden="1"/>
    <row r="60" spans="1:10" hidden="1">
      <c r="A60" s="4">
        <v>6462.57</v>
      </c>
      <c r="B60" s="14" t="s">
        <v>37</v>
      </c>
      <c r="F60" s="4">
        <f>A60+G55</f>
        <v>21162.57</v>
      </c>
      <c r="G60" s="4">
        <f>A60+G55</f>
        <v>21162.57</v>
      </c>
      <c r="H60" s="4">
        <f>A60+H55</f>
        <v>23462.57</v>
      </c>
      <c r="I60" s="4">
        <f t="shared" ref="I60" si="6">I58-I61-I62</f>
        <v>0</v>
      </c>
    </row>
    <row r="61" spans="1:10" hidden="1">
      <c r="A61" s="4">
        <v>8082.5</v>
      </c>
      <c r="B61" s="14" t="s">
        <v>31</v>
      </c>
      <c r="F61" s="4">
        <v>23660.35</v>
      </c>
      <c r="G61" s="4">
        <v>23660.35</v>
      </c>
      <c r="H61" s="4">
        <v>23660.35</v>
      </c>
    </row>
    <row r="62" spans="1:10" hidden="1">
      <c r="A62" s="4">
        <v>20246.150000000001</v>
      </c>
      <c r="B62" s="14" t="s">
        <v>38</v>
      </c>
      <c r="F62" s="4">
        <f>A61-F54</f>
        <v>10214.5</v>
      </c>
      <c r="G62" s="4">
        <v>17364</v>
      </c>
      <c r="H62" s="4">
        <f>27593-H54</f>
        <v>10593</v>
      </c>
    </row>
    <row r="63" spans="1:10" ht="15.75" hidden="1" thickBot="1">
      <c r="A63" s="23">
        <f>SUM(A60:A62)</f>
        <v>34791.22</v>
      </c>
      <c r="B63" s="2" t="s">
        <v>39</v>
      </c>
      <c r="F63" s="20">
        <f>SUM(F60:F62)</f>
        <v>55037.42</v>
      </c>
      <c r="G63" s="20">
        <f>SUM(G60:G62)</f>
        <v>62186.92</v>
      </c>
      <c r="H63" s="20">
        <f>SUM(H60:H62)</f>
        <v>57715.92</v>
      </c>
    </row>
    <row r="65" spans="1:9">
      <c r="A65" s="3">
        <v>441</v>
      </c>
      <c r="B65" s="2" t="s">
        <v>40</v>
      </c>
      <c r="F65" s="4">
        <v>441</v>
      </c>
      <c r="H65" s="24">
        <v>445</v>
      </c>
      <c r="I65" s="24"/>
    </row>
    <row r="66" spans="1:9">
      <c r="A66" s="3">
        <v>37.409999999999997</v>
      </c>
      <c r="B66" s="2" t="s">
        <v>41</v>
      </c>
      <c r="F66" s="25">
        <f>F37/F65</f>
        <v>49.13378684807256</v>
      </c>
      <c r="H66" s="25">
        <f>H37/H65</f>
        <v>48.880898876404494</v>
      </c>
    </row>
    <row r="67" spans="1:9">
      <c r="B67" s="2" t="s">
        <v>42</v>
      </c>
      <c r="F67" s="26">
        <f>(F66-A66)/A66</f>
        <v>0.31338644341279243</v>
      </c>
      <c r="H67" s="27">
        <f>(H66-F66)/F66</f>
        <v>-5.1469261355739917E-3</v>
      </c>
    </row>
    <row r="68" spans="1:9">
      <c r="B68" s="28" t="s">
        <v>43</v>
      </c>
      <c r="F68" s="25">
        <f>F66-A66</f>
        <v>11.723786848072564</v>
      </c>
      <c r="H68" s="25">
        <f>H66-F66</f>
        <v>-0.25288797166806631</v>
      </c>
    </row>
    <row r="69" spans="1:9">
      <c r="A69" s="11"/>
      <c r="B69" s="28" t="s">
        <v>44</v>
      </c>
      <c r="F69" s="25">
        <f>F68/12</f>
        <v>0.97698223733938028</v>
      </c>
      <c r="H69" s="25">
        <f>H68/12</f>
        <v>-2.1073997639005526E-2</v>
      </c>
    </row>
    <row r="70" spans="1:9">
      <c r="A70" s="11"/>
    </row>
  </sheetData>
  <printOptions horizontalCentered="1"/>
  <pageMargins left="0.39" right="0.3" top="0.28999999999999998" bottom="0.27" header="0.18" footer="0.2"/>
  <pageSetup paperSize="9" scale="99" orientation="portrait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2023-24 Budget w toilets</vt:lpstr>
      <vt:lpstr>Reserves</vt:lpstr>
      <vt:lpstr>2023-24 Budget wo toilets</vt:lpstr>
      <vt:lpstr>'2023-24 Budget w toilets'!Print_Area</vt:lpstr>
      <vt:lpstr>'2023-24 Budget wo toilets'!Print_Area</vt:lpstr>
      <vt:lpstr>Reserves!Print_Area</vt:lpstr>
      <vt:lpstr>Reserves!Print_Titles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cp:lastPrinted>2022-11-30T12:18:11Z</cp:lastPrinted>
  <dcterms:created xsi:type="dcterms:W3CDTF">2021-11-10T12:42:13Z</dcterms:created>
  <dcterms:modified xsi:type="dcterms:W3CDTF">2022-12-05T16:08:21Z</dcterms:modified>
</cp:coreProperties>
</file>